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871b7034787fda6/Real Estate/New Underwriting/Website/Deer Valley Industrial/"/>
    </mc:Choice>
  </mc:AlternateContent>
  <xr:revisionPtr revIDLastSave="2110" documentId="13_ncr:1_{C380E6EC-2785-4D3E-AD88-7E7CD0E12192}" xr6:coauthVersionLast="47" xr6:coauthVersionMax="47" xr10:uidLastSave="{841671D3-AEB5-423C-9BFB-BC7AE834E830}"/>
  <bookViews>
    <workbookView xWindow="28680" yWindow="-120" windowWidth="29040" windowHeight="16440" activeTab="2" xr2:uid="{6963CDF9-7585-42FF-9AEF-AF1C76592595}"/>
  </bookViews>
  <sheets>
    <sheet name="Summary" sheetId="32" r:id="rId1"/>
    <sheet name="Underwriting" sheetId="33" r:id="rId2"/>
    <sheet name="Comps" sheetId="35" r:id="rId3"/>
    <sheet name="SOFR Curve" sheetId="34" state="hidden" r:id="rId4"/>
  </sheets>
  <definedNames>
    <definedName name="AMORT">#REF!</definedName>
    <definedName name="ANNPMT">#REF!</definedName>
    <definedName name="BEDS">#REF!</definedName>
    <definedName name="CAP">#REF!</definedName>
    <definedName name="CITY">#REF!</definedName>
    <definedName name="COST">#REF!</definedName>
    <definedName name="EGI">#REF!</definedName>
    <definedName name="GI">#REF!</definedName>
    <definedName name="IPEGI">#REF!</definedName>
    <definedName name="IPNOI">#REF!</definedName>
    <definedName name="IPUCF">#REF!</definedName>
    <definedName name="K">#REF!</definedName>
    <definedName name="LEASINC">#REF!</definedName>
    <definedName name="loan">#REF!</definedName>
    <definedName name="LTV">#REF!</definedName>
    <definedName name="MAXLTV">#REF!</definedName>
    <definedName name="MOPMT">#REF!</definedName>
    <definedName name="name">#REF!</definedName>
    <definedName name="NOI">#REF!</definedName>
    <definedName name="nrsf">#REF!</definedName>
    <definedName name="OPEXP">#REF!</definedName>
    <definedName name="PARCEL">#REF!</definedName>
    <definedName name="PGI">#REF!</definedName>
    <definedName name="RATE">#REF!</definedName>
    <definedName name="STREET">#REF!</definedName>
    <definedName name="suites">#REF!</definedName>
    <definedName name="TERM">#REF!</definedName>
    <definedName name="UCF">#REF!</definedName>
    <definedName name="units">#REF!</definedName>
    <definedName name="VAC">#REF!</definedName>
    <definedName name="value">#REF!</definedName>
  </definedNames>
  <calcPr calcId="191029" iterate="1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3" i="33" l="1"/>
  <c r="N70" i="33"/>
  <c r="O70" i="33"/>
  <c r="P70" i="33"/>
  <c r="Q70" i="33"/>
  <c r="R70" i="33"/>
  <c r="S70" i="33"/>
  <c r="T70" i="33"/>
  <c r="U70" i="33"/>
  <c r="V70" i="33"/>
  <c r="W70" i="33"/>
  <c r="X70" i="33"/>
  <c r="Y70" i="33"/>
  <c r="Z70" i="33"/>
  <c r="AA70" i="33"/>
  <c r="AB70" i="33"/>
  <c r="AC70" i="33"/>
  <c r="AD70" i="33"/>
  <c r="AE70" i="33"/>
  <c r="AF70" i="33"/>
  <c r="AG70" i="33"/>
  <c r="AH70" i="33"/>
  <c r="AI70" i="33"/>
  <c r="AJ70" i="33"/>
  <c r="AK70" i="33"/>
  <c r="AL70" i="33"/>
  <c r="AM70" i="33"/>
  <c r="AN70" i="33"/>
  <c r="AO70" i="33"/>
  <c r="AP70" i="33"/>
  <c r="AQ70" i="33"/>
  <c r="AR70" i="33"/>
  <c r="AS70" i="33"/>
  <c r="AT70" i="33"/>
  <c r="AU70" i="33"/>
  <c r="AV70" i="33"/>
  <c r="AW70" i="33"/>
  <c r="AX70" i="33"/>
  <c r="AY70" i="33"/>
  <c r="AZ70" i="33"/>
  <c r="BA70" i="33"/>
  <c r="BB70" i="33"/>
  <c r="BC70" i="33"/>
  <c r="BD70" i="33"/>
  <c r="BE70" i="33"/>
  <c r="BF70" i="33"/>
  <c r="BG70" i="33"/>
  <c r="BH70" i="33"/>
  <c r="BI70" i="33"/>
  <c r="BJ70" i="33"/>
  <c r="BK70" i="33"/>
  <c r="BL70" i="33"/>
  <c r="BM70" i="33"/>
  <c r="BN70" i="33"/>
  <c r="BO70" i="33"/>
  <c r="BP70" i="33"/>
  <c r="BQ70" i="33"/>
  <c r="BR70" i="33"/>
  <c r="BS70" i="33"/>
  <c r="BT70" i="33"/>
  <c r="BU70" i="33"/>
  <c r="M70" i="33"/>
  <c r="AX33" i="33"/>
  <c r="AY33" i="33"/>
  <c r="AZ33" i="33"/>
  <c r="BA33" i="33"/>
  <c r="BB33" i="33"/>
  <c r="BC33" i="33"/>
  <c r="BD33" i="33"/>
  <c r="BE33" i="33"/>
  <c r="BF33" i="33"/>
  <c r="BG33" i="33"/>
  <c r="BH33" i="33"/>
  <c r="BI33" i="33"/>
  <c r="BJ33" i="33"/>
  <c r="BK33" i="33"/>
  <c r="BL33" i="33"/>
  <c r="BM33" i="33"/>
  <c r="BN33" i="33"/>
  <c r="BO33" i="33"/>
  <c r="BP33" i="33"/>
  <c r="BQ33" i="33"/>
  <c r="BR33" i="33"/>
  <c r="BS33" i="33"/>
  <c r="BT33" i="33"/>
  <c r="BU33" i="33"/>
  <c r="M33" i="33"/>
  <c r="H54" i="33"/>
  <c r="K32" i="35"/>
  <c r="K31" i="35"/>
  <c r="I32" i="35"/>
  <c r="I31" i="35"/>
  <c r="P27" i="35"/>
  <c r="P26" i="35"/>
  <c r="N27" i="35"/>
  <c r="N26" i="35"/>
  <c r="P23" i="35"/>
  <c r="P19" i="35"/>
  <c r="P15" i="35"/>
  <c r="P11" i="35"/>
  <c r="P7" i="35"/>
  <c r="D27" i="35"/>
  <c r="F9" i="35"/>
  <c r="F12" i="35"/>
  <c r="F15" i="35"/>
  <c r="F18" i="35"/>
  <c r="F21" i="35"/>
  <c r="F24" i="35"/>
  <c r="F27" i="35" s="1"/>
  <c r="F6" i="35"/>
  <c r="B115" i="33"/>
  <c r="D114" i="33"/>
  <c r="D115" i="33"/>
  <c r="D113" i="33"/>
  <c r="E111" i="33"/>
  <c r="D104" i="33"/>
  <c r="L36" i="33"/>
  <c r="M4" i="33"/>
  <c r="M2" i="33"/>
  <c r="N3" i="33"/>
  <c r="K81" i="33"/>
  <c r="J78" i="33"/>
  <c r="K75" i="33"/>
  <c r="K76" i="33"/>
  <c r="K77" i="33"/>
  <c r="K74" i="33"/>
  <c r="I53" i="33"/>
  <c r="I54" i="33"/>
  <c r="I55" i="33"/>
  <c r="I56" i="33"/>
  <c r="I57" i="33"/>
  <c r="I58" i="33"/>
  <c r="I52" i="33"/>
  <c r="H53" i="33"/>
  <c r="H55" i="33"/>
  <c r="H56" i="33"/>
  <c r="H57" i="33"/>
  <c r="H58" i="33"/>
  <c r="H52" i="33"/>
  <c r="F52" i="33"/>
  <c r="F18" i="33" s="1"/>
  <c r="E52" i="33"/>
  <c r="E53" i="33"/>
  <c r="E54" i="33"/>
  <c r="E55" i="33"/>
  <c r="E56" i="33"/>
  <c r="K22" i="33" s="1"/>
  <c r="E57" i="33"/>
  <c r="K23" i="33" s="1"/>
  <c r="J23" i="33" s="1"/>
  <c r="E58" i="33"/>
  <c r="K24" i="33" s="1"/>
  <c r="J24" i="33" s="1"/>
  <c r="G39" i="33"/>
  <c r="J13" i="33"/>
  <c r="K15" i="33"/>
  <c r="K14" i="33"/>
  <c r="G17" i="33"/>
  <c r="F17" i="33"/>
  <c r="G16" i="33"/>
  <c r="F16" i="33"/>
  <c r="G15" i="33"/>
  <c r="F15" i="33"/>
  <c r="F14" i="33"/>
  <c r="F13" i="33"/>
  <c r="D6" i="33"/>
  <c r="M15" i="33" l="1"/>
  <c r="D111" i="33"/>
  <c r="D106" i="33"/>
  <c r="E112" i="33" s="1"/>
  <c r="N4" i="33"/>
  <c r="M45" i="33" a="1"/>
  <c r="M46" i="33" s="1"/>
  <c r="M44" i="33" s="1"/>
  <c r="E77" i="33"/>
  <c r="E76" i="33"/>
  <c r="E74" i="33"/>
  <c r="E81" i="33"/>
  <c r="E75" i="33"/>
  <c r="J14" i="33"/>
  <c r="K78" i="33"/>
  <c r="J22" i="33"/>
  <c r="O3" i="33"/>
  <c r="N12" i="33"/>
  <c r="N15" i="33" s="1"/>
  <c r="N2" i="33"/>
  <c r="G14" i="33"/>
  <c r="N14" i="33" s="1"/>
  <c r="M14" i="33"/>
  <c r="K31" i="33"/>
  <c r="K30" i="33"/>
  <c r="K29" i="33"/>
  <c r="G18" i="33"/>
  <c r="F25" i="33"/>
  <c r="G25" i="33" s="1"/>
  <c r="K25" i="33"/>
  <c r="K18" i="33"/>
  <c r="J18" i="33" s="1"/>
  <c r="K19" i="33"/>
  <c r="K26" i="33"/>
  <c r="K27" i="33"/>
  <c r="K20" i="33"/>
  <c r="K28" i="33"/>
  <c r="K21" i="33"/>
  <c r="K53" i="33"/>
  <c r="K55" i="33"/>
  <c r="K56" i="33"/>
  <c r="K57" i="33"/>
  <c r="K58" i="33"/>
  <c r="K52" i="33"/>
  <c r="J52" i="33" s="1"/>
  <c r="G52" i="33"/>
  <c r="F53" i="33"/>
  <c r="F19" i="33" s="1"/>
  <c r="E59" i="33"/>
  <c r="H59" i="33"/>
  <c r="K54" i="33"/>
  <c r="K17" i="33"/>
  <c r="K16" i="33"/>
  <c r="G13" i="33"/>
  <c r="N45" i="33" l="1" a="1"/>
  <c r="N46" i="33" s="1"/>
  <c r="O4" i="33"/>
  <c r="M75" i="33"/>
  <c r="N75" i="33"/>
  <c r="M77" i="33"/>
  <c r="N77" i="33"/>
  <c r="M76" i="33"/>
  <c r="N76" i="33"/>
  <c r="M74" i="33"/>
  <c r="M78" i="33" s="1"/>
  <c r="N74" i="33"/>
  <c r="N81" i="33"/>
  <c r="M81" i="33"/>
  <c r="O81" i="33"/>
  <c r="O76" i="33"/>
  <c r="O77" i="33"/>
  <c r="O74" i="33"/>
  <c r="O75" i="33"/>
  <c r="J19" i="33"/>
  <c r="J27" i="33"/>
  <c r="J20" i="33"/>
  <c r="J21" i="33"/>
  <c r="J30" i="33"/>
  <c r="J29" i="33"/>
  <c r="J26" i="33"/>
  <c r="J28" i="33"/>
  <c r="J53" i="33"/>
  <c r="J55" i="33"/>
  <c r="J56" i="33"/>
  <c r="J57" i="33"/>
  <c r="J58" i="33"/>
  <c r="N52" i="33"/>
  <c r="M52" i="33"/>
  <c r="O52" i="33"/>
  <c r="O16" i="33"/>
  <c r="O12" i="33"/>
  <c r="O14" i="33"/>
  <c r="O18" i="33"/>
  <c r="O15" i="33"/>
  <c r="O13" i="33"/>
  <c r="O2" i="33"/>
  <c r="O25" i="33"/>
  <c r="O17" i="33"/>
  <c r="P3" i="33"/>
  <c r="N18" i="33"/>
  <c r="M18" i="33"/>
  <c r="N25" i="33"/>
  <c r="M25" i="33"/>
  <c r="J17" i="33"/>
  <c r="N17" i="33"/>
  <c r="M17" i="33"/>
  <c r="J16" i="33"/>
  <c r="N16" i="33"/>
  <c r="M16" i="33"/>
  <c r="N13" i="33"/>
  <c r="G19" i="33"/>
  <c r="F26" i="33"/>
  <c r="F60" i="33"/>
  <c r="F65" i="33"/>
  <c r="F62" i="33"/>
  <c r="F54" i="33"/>
  <c r="F20" i="33" s="1"/>
  <c r="G53" i="33"/>
  <c r="F66" i="33"/>
  <c r="F63" i="33"/>
  <c r="F64" i="33"/>
  <c r="F61" i="33"/>
  <c r="J54" i="33"/>
  <c r="K59" i="33"/>
  <c r="J59" i="33" s="1"/>
  <c r="N78" i="33" l="1"/>
  <c r="O78" i="33"/>
  <c r="O45" i="33" a="1"/>
  <c r="O46" i="33" s="1"/>
  <c r="P4" i="33"/>
  <c r="P53" i="33"/>
  <c r="P52" i="33"/>
  <c r="P75" i="33"/>
  <c r="P81" i="33"/>
  <c r="P76" i="33"/>
  <c r="P77" i="33"/>
  <c r="P74" i="33"/>
  <c r="O53" i="33"/>
  <c r="N53" i="33"/>
  <c r="M53" i="33"/>
  <c r="K60" i="33"/>
  <c r="O60" i="33"/>
  <c r="M60" i="33"/>
  <c r="N60" i="33"/>
  <c r="K65" i="33"/>
  <c r="J65" i="33" s="1"/>
  <c r="K62" i="33"/>
  <c r="J62" i="33" s="1"/>
  <c r="O62" i="33"/>
  <c r="N62" i="33"/>
  <c r="M62" i="33"/>
  <c r="K66" i="33"/>
  <c r="J66" i="33" s="1"/>
  <c r="K63" i="33"/>
  <c r="J63" i="33" s="1"/>
  <c r="K64" i="33"/>
  <c r="J64" i="33" s="1"/>
  <c r="K61" i="33"/>
  <c r="J61" i="33" s="1"/>
  <c r="M61" i="33"/>
  <c r="N61" i="33"/>
  <c r="O61" i="33"/>
  <c r="P14" i="33"/>
  <c r="P13" i="33"/>
  <c r="P19" i="33"/>
  <c r="P25" i="33"/>
  <c r="P18" i="33"/>
  <c r="P16" i="33"/>
  <c r="P12" i="33"/>
  <c r="P2" i="33"/>
  <c r="Q3" i="33"/>
  <c r="N19" i="33"/>
  <c r="M19" i="33"/>
  <c r="O19" i="33"/>
  <c r="G26" i="33"/>
  <c r="M26" i="33"/>
  <c r="N26" i="33"/>
  <c r="K67" i="33"/>
  <c r="J60" i="33"/>
  <c r="G20" i="33"/>
  <c r="F27" i="33"/>
  <c r="F55" i="33"/>
  <c r="G54" i="33"/>
  <c r="P54" i="33" s="1"/>
  <c r="P26" i="33" l="1"/>
  <c r="O26" i="33"/>
  <c r="P45" i="33" a="1"/>
  <c r="P46" i="33" s="1"/>
  <c r="Q4" i="33"/>
  <c r="P78" i="33"/>
  <c r="P60" i="33"/>
  <c r="P62" i="33"/>
  <c r="P61" i="33"/>
  <c r="Q75" i="33"/>
  <c r="Q81" i="33"/>
  <c r="Q76" i="33"/>
  <c r="Q77" i="33"/>
  <c r="Q74" i="33"/>
  <c r="Q54" i="33"/>
  <c r="Q53" i="33"/>
  <c r="Q52" i="33"/>
  <c r="F21" i="33"/>
  <c r="P63" i="33"/>
  <c r="O63" i="33"/>
  <c r="N63" i="33"/>
  <c r="M63" i="33"/>
  <c r="N54" i="33"/>
  <c r="M54" i="33"/>
  <c r="O54" i="33"/>
  <c r="Q16" i="33"/>
  <c r="Q13" i="33"/>
  <c r="Q26" i="33"/>
  <c r="Q20" i="33"/>
  <c r="Q12" i="33"/>
  <c r="Q17" i="33" s="1"/>
  <c r="Q14" i="33"/>
  <c r="Q2" i="33"/>
  <c r="Q19" i="33"/>
  <c r="Q25" i="33"/>
  <c r="Q15" i="33"/>
  <c r="Q18" i="33"/>
  <c r="R3" i="33"/>
  <c r="P17" i="33"/>
  <c r="P15" i="33"/>
  <c r="P20" i="33"/>
  <c r="O20" i="33"/>
  <c r="M20" i="33"/>
  <c r="N20" i="33"/>
  <c r="G27" i="33"/>
  <c r="M27" i="33"/>
  <c r="N27" i="33"/>
  <c r="O27" i="33"/>
  <c r="J67" i="33"/>
  <c r="K69" i="33"/>
  <c r="G21" i="33"/>
  <c r="F28" i="33"/>
  <c r="F56" i="33"/>
  <c r="G55" i="33"/>
  <c r="Q55" i="33" s="1"/>
  <c r="Q27" i="33" l="1"/>
  <c r="P27" i="33"/>
  <c r="Q45" i="33" a="1"/>
  <c r="Q46" i="33" s="1"/>
  <c r="R4" i="33"/>
  <c r="Q78" i="33"/>
  <c r="Q61" i="33"/>
  <c r="Q60" i="33"/>
  <c r="Q62" i="33"/>
  <c r="Q63" i="33"/>
  <c r="Q64" i="33"/>
  <c r="R77" i="33"/>
  <c r="R75" i="33"/>
  <c r="R81" i="33"/>
  <c r="R76" i="33"/>
  <c r="R74" i="33"/>
  <c r="R54" i="33"/>
  <c r="R53" i="33"/>
  <c r="R61" i="33"/>
  <c r="R55" i="33"/>
  <c r="R56" i="33"/>
  <c r="R52" i="33"/>
  <c r="R60" i="33"/>
  <c r="R65" i="33"/>
  <c r="R62" i="33"/>
  <c r="R63" i="33"/>
  <c r="F22" i="33"/>
  <c r="P64" i="33"/>
  <c r="O64" i="33"/>
  <c r="N64" i="33"/>
  <c r="M64" i="33"/>
  <c r="O55" i="33"/>
  <c r="M55" i="33"/>
  <c r="N55" i="33"/>
  <c r="P55" i="33"/>
  <c r="R2" i="33"/>
  <c r="R26" i="33"/>
  <c r="R12" i="33"/>
  <c r="R17" i="33" s="1"/>
  <c r="R14" i="33"/>
  <c r="R27" i="33"/>
  <c r="R25" i="33"/>
  <c r="R13" i="33"/>
  <c r="R20" i="33"/>
  <c r="R16" i="33"/>
  <c r="R21" i="33"/>
  <c r="R19" i="33"/>
  <c r="R15" i="33"/>
  <c r="R18" i="33"/>
  <c r="S3" i="33"/>
  <c r="M21" i="33"/>
  <c r="Q21" i="33"/>
  <c r="P21" i="33"/>
  <c r="N21" i="33"/>
  <c r="O21" i="33"/>
  <c r="G28" i="33"/>
  <c r="R28" i="33" s="1"/>
  <c r="Q28" i="33"/>
  <c r="M28" i="33"/>
  <c r="N28" i="33"/>
  <c r="O28" i="33"/>
  <c r="P28" i="33"/>
  <c r="J69" i="33"/>
  <c r="K70" i="33"/>
  <c r="G22" i="33"/>
  <c r="F29" i="33"/>
  <c r="F57" i="33"/>
  <c r="G56" i="33"/>
  <c r="J70" i="33" l="1"/>
  <c r="K71" i="33"/>
  <c r="R45" i="33" a="1"/>
  <c r="R46" i="33" s="1"/>
  <c r="S4" i="33"/>
  <c r="R78" i="33"/>
  <c r="R64" i="33"/>
  <c r="S55" i="33"/>
  <c r="S52" i="33"/>
  <c r="S57" i="33"/>
  <c r="S56" i="33"/>
  <c r="S77" i="33"/>
  <c r="S75" i="33"/>
  <c r="S81" i="33"/>
  <c r="S76" i="33"/>
  <c r="S74" i="33"/>
  <c r="S63" i="33" s="1"/>
  <c r="S54" i="33"/>
  <c r="S53" i="33"/>
  <c r="S66" i="33"/>
  <c r="Q22" i="33"/>
  <c r="R22" i="33"/>
  <c r="P22" i="33"/>
  <c r="O22" i="33"/>
  <c r="N22" i="33"/>
  <c r="M22" i="33"/>
  <c r="F23" i="33"/>
  <c r="P65" i="33"/>
  <c r="N65" i="33"/>
  <c r="O65" i="33"/>
  <c r="M65" i="33"/>
  <c r="Q65" i="33"/>
  <c r="N56" i="33"/>
  <c r="M56" i="33"/>
  <c r="P56" i="33"/>
  <c r="O56" i="33"/>
  <c r="Q56" i="33"/>
  <c r="S27" i="33"/>
  <c r="S22" i="33"/>
  <c r="S20" i="33"/>
  <c r="S28" i="33"/>
  <c r="S16" i="33"/>
  <c r="S2" i="33"/>
  <c r="S14" i="33"/>
  <c r="S26" i="33"/>
  <c r="S19" i="33"/>
  <c r="S21" i="33"/>
  <c r="S12" i="33"/>
  <c r="S15" i="33" s="1"/>
  <c r="S17" i="33"/>
  <c r="S18" i="33"/>
  <c r="S13" i="33"/>
  <c r="S25" i="33"/>
  <c r="T3" i="33"/>
  <c r="G29" i="33"/>
  <c r="M29" i="33"/>
  <c r="N29" i="33"/>
  <c r="O29" i="33"/>
  <c r="G57" i="33"/>
  <c r="F58" i="33"/>
  <c r="P29" i="33" l="1"/>
  <c r="Q29" i="33"/>
  <c r="S64" i="33"/>
  <c r="S61" i="33"/>
  <c r="G23" i="33"/>
  <c r="F30" i="33"/>
  <c r="K80" i="33"/>
  <c r="J71" i="33"/>
  <c r="S45" i="33" a="1"/>
  <c r="S46" i="33" s="1"/>
  <c r="T4" i="33"/>
  <c r="S78" i="33"/>
  <c r="S60" i="33"/>
  <c r="S62" i="33"/>
  <c r="S65" i="33"/>
  <c r="T77" i="33"/>
  <c r="T75" i="33"/>
  <c r="T81" i="33"/>
  <c r="T76" i="33"/>
  <c r="T74" i="33"/>
  <c r="T54" i="33"/>
  <c r="T53" i="33"/>
  <c r="T52" i="33"/>
  <c r="T55" i="33"/>
  <c r="T56" i="33"/>
  <c r="T57" i="33"/>
  <c r="S29" i="33"/>
  <c r="R29" i="33"/>
  <c r="R23" i="33"/>
  <c r="S23" i="33"/>
  <c r="M23" i="33"/>
  <c r="O23" i="33"/>
  <c r="P23" i="33"/>
  <c r="Q23" i="33"/>
  <c r="N23" i="33"/>
  <c r="N57" i="33"/>
  <c r="M57" i="33"/>
  <c r="O57" i="33"/>
  <c r="P57" i="33"/>
  <c r="Q57" i="33"/>
  <c r="R57" i="33"/>
  <c r="F24" i="33"/>
  <c r="N66" i="33"/>
  <c r="N67" i="33" s="1"/>
  <c r="O66" i="33"/>
  <c r="O67" i="33" s="1"/>
  <c r="M66" i="33"/>
  <c r="M67" i="33" s="1"/>
  <c r="Q66" i="33"/>
  <c r="Q67" i="33" s="1"/>
  <c r="R66" i="33"/>
  <c r="R67" i="33" s="1"/>
  <c r="P66" i="33"/>
  <c r="P67" i="33" s="1"/>
  <c r="T25" i="33"/>
  <c r="T18" i="33"/>
  <c r="T26" i="33"/>
  <c r="T22" i="33"/>
  <c r="T19" i="33"/>
  <c r="T14" i="33"/>
  <c r="T21" i="33"/>
  <c r="T2" i="33"/>
  <c r="T12" i="33"/>
  <c r="T17" i="33" s="1"/>
  <c r="T28" i="33"/>
  <c r="T23" i="33"/>
  <c r="T16" i="33"/>
  <c r="T29" i="33"/>
  <c r="T20" i="33"/>
  <c r="T13" i="33"/>
  <c r="T27" i="33"/>
  <c r="T15" i="33"/>
  <c r="U3" i="33"/>
  <c r="G30" i="33"/>
  <c r="M30" i="33"/>
  <c r="N30" i="33"/>
  <c r="O30" i="33"/>
  <c r="P30" i="33"/>
  <c r="Q30" i="33"/>
  <c r="R30" i="33"/>
  <c r="G58" i="33"/>
  <c r="T58" i="33" s="1"/>
  <c r="F59" i="33"/>
  <c r="J25" i="33"/>
  <c r="K82" i="33" l="1"/>
  <c r="J82" i="33" s="1"/>
  <c r="J80" i="33"/>
  <c r="G24" i="33"/>
  <c r="T24" i="33" s="1"/>
  <c r="F31" i="33"/>
  <c r="T45" i="33" a="1"/>
  <c r="T46" i="33" s="1"/>
  <c r="U4" i="33"/>
  <c r="S67" i="33"/>
  <c r="T59" i="33"/>
  <c r="T78" i="33"/>
  <c r="T63" i="33"/>
  <c r="T64" i="33"/>
  <c r="T61" i="33"/>
  <c r="T60" i="33"/>
  <c r="T65" i="33"/>
  <c r="T62" i="33"/>
  <c r="T66" i="33"/>
  <c r="U77" i="33"/>
  <c r="U75" i="33"/>
  <c r="U81" i="33"/>
  <c r="U76" i="33"/>
  <c r="U74" i="33"/>
  <c r="U54" i="33"/>
  <c r="U53" i="33"/>
  <c r="U58" i="33"/>
  <c r="U55" i="33"/>
  <c r="U56" i="33"/>
  <c r="U57" i="33"/>
  <c r="U52" i="33"/>
  <c r="U59" i="33" s="1"/>
  <c r="U60" i="33"/>
  <c r="U65" i="33"/>
  <c r="U62" i="33"/>
  <c r="U66" i="33"/>
  <c r="U63" i="33"/>
  <c r="T30" i="33"/>
  <c r="S30" i="33"/>
  <c r="O58" i="33"/>
  <c r="O59" i="33" s="1"/>
  <c r="O69" i="33" s="1"/>
  <c r="O71" i="33" s="1"/>
  <c r="O80" i="33" s="1"/>
  <c r="O82" i="33" s="1"/>
  <c r="N58" i="33"/>
  <c r="N59" i="33" s="1"/>
  <c r="N69" i="33" s="1"/>
  <c r="N71" i="33" s="1"/>
  <c r="N80" i="33" s="1"/>
  <c r="N82" i="33" s="1"/>
  <c r="P58" i="33"/>
  <c r="P59" i="33" s="1"/>
  <c r="P69" i="33" s="1"/>
  <c r="Q58" i="33"/>
  <c r="Q59" i="33" s="1"/>
  <c r="Q69" i="33" s="1"/>
  <c r="Q71" i="33" s="1"/>
  <c r="Q80" i="33" s="1"/>
  <c r="Q82" i="33" s="1"/>
  <c r="R58" i="33"/>
  <c r="R59" i="33" s="1"/>
  <c r="R69" i="33" s="1"/>
  <c r="R71" i="33" s="1"/>
  <c r="R80" i="33" s="1"/>
  <c r="R82" i="33" s="1"/>
  <c r="M58" i="33"/>
  <c r="M59" i="33" s="1"/>
  <c r="M69" i="33" s="1"/>
  <c r="M71" i="33" s="1"/>
  <c r="M80" i="33" s="1"/>
  <c r="M82" i="33" s="1"/>
  <c r="S58" i="33"/>
  <c r="S59" i="33" s="1"/>
  <c r="U30" i="33"/>
  <c r="U26" i="33"/>
  <c r="U2" i="33"/>
  <c r="U16" i="33"/>
  <c r="U19" i="33"/>
  <c r="U27" i="33"/>
  <c r="U20" i="33"/>
  <c r="U18" i="33"/>
  <c r="U14" i="33"/>
  <c r="U28" i="33"/>
  <c r="U24" i="33"/>
  <c r="U25" i="33"/>
  <c r="U23" i="33"/>
  <c r="U29" i="33"/>
  <c r="U21" i="33"/>
  <c r="U12" i="33"/>
  <c r="U13" i="33"/>
  <c r="U22" i="33"/>
  <c r="V3" i="33"/>
  <c r="M24" i="33"/>
  <c r="N24" i="33"/>
  <c r="O24" i="33"/>
  <c r="P24" i="33"/>
  <c r="Q24" i="33"/>
  <c r="R24" i="33"/>
  <c r="S24" i="33"/>
  <c r="F32" i="33"/>
  <c r="F35" i="33" s="1"/>
  <c r="G31" i="33"/>
  <c r="G59" i="33"/>
  <c r="D7" i="33" s="1"/>
  <c r="E86" i="33" s="1"/>
  <c r="D8" i="33" s="1"/>
  <c r="S69" i="33" l="1"/>
  <c r="S71" i="33" s="1"/>
  <c r="S80" i="33" s="1"/>
  <c r="S82" i="33" s="1"/>
  <c r="U45" i="33" a="1"/>
  <c r="U46" i="33" s="1"/>
  <c r="V4" i="33"/>
  <c r="P71" i="33"/>
  <c r="P80" i="33" s="1"/>
  <c r="P82" i="33" s="1"/>
  <c r="T67" i="33"/>
  <c r="T69" i="33" s="1"/>
  <c r="T71" i="33" s="1"/>
  <c r="T80" i="33" s="1"/>
  <c r="T82" i="33" s="1"/>
  <c r="U78" i="33"/>
  <c r="U64" i="33"/>
  <c r="U61" i="33"/>
  <c r="U67" i="33" s="1"/>
  <c r="U69" i="33" s="1"/>
  <c r="U71" i="33" s="1"/>
  <c r="U80" i="33" s="1"/>
  <c r="U82" i="33" s="1"/>
  <c r="U15" i="33"/>
  <c r="U17" i="33"/>
  <c r="V77" i="33"/>
  <c r="V75" i="33"/>
  <c r="V81" i="33"/>
  <c r="V76" i="33"/>
  <c r="V74" i="33"/>
  <c r="V78" i="33" s="1"/>
  <c r="V54" i="33"/>
  <c r="V53" i="33"/>
  <c r="V55" i="33"/>
  <c r="V56" i="33"/>
  <c r="V57" i="33"/>
  <c r="V58" i="33"/>
  <c r="V52" i="33"/>
  <c r="V59" i="33" s="1"/>
  <c r="V60" i="33"/>
  <c r="V65" i="33"/>
  <c r="V62" i="33"/>
  <c r="V66" i="33"/>
  <c r="V63" i="33"/>
  <c r="V64" i="33"/>
  <c r="V61" i="33"/>
  <c r="V27" i="33"/>
  <c r="V30" i="33"/>
  <c r="V20" i="33"/>
  <c r="V23" i="33"/>
  <c r="V26" i="33"/>
  <c r="V29" i="33"/>
  <c r="V19" i="33"/>
  <c r="V25" i="33"/>
  <c r="V16" i="33"/>
  <c r="V21" i="33"/>
  <c r="V12" i="33"/>
  <c r="V15" i="33" s="1"/>
  <c r="V17" i="33"/>
  <c r="V28" i="33"/>
  <c r="V18" i="33"/>
  <c r="V31" i="33"/>
  <c r="V22" i="33"/>
  <c r="V24" i="33"/>
  <c r="V14" i="33"/>
  <c r="V2" i="33"/>
  <c r="V13" i="33"/>
  <c r="W3" i="33"/>
  <c r="G32" i="33"/>
  <c r="G35" i="33" s="1"/>
  <c r="U31" i="33"/>
  <c r="N31" i="33"/>
  <c r="N32" i="33" s="1"/>
  <c r="Q31" i="33"/>
  <c r="Q32" i="33" s="1"/>
  <c r="O31" i="33"/>
  <c r="O32" i="33" s="1"/>
  <c r="R31" i="33"/>
  <c r="R32" i="33" s="1"/>
  <c r="M31" i="33"/>
  <c r="P31" i="33"/>
  <c r="P32" i="33" s="1"/>
  <c r="S31" i="33"/>
  <c r="S32" i="33" s="1"/>
  <c r="T31" i="33"/>
  <c r="T32" i="33" s="1"/>
  <c r="K32" i="33"/>
  <c r="J31" i="33"/>
  <c r="V45" i="33" l="1" a="1"/>
  <c r="V46" i="33" s="1"/>
  <c r="W4" i="33"/>
  <c r="U32" i="33"/>
  <c r="V67" i="33"/>
  <c r="V69" i="33" s="1"/>
  <c r="V71" i="33" s="1"/>
  <c r="V80" i="33" s="1"/>
  <c r="V82" i="33" s="1"/>
  <c r="W77" i="33"/>
  <c r="W75" i="33"/>
  <c r="W81" i="33"/>
  <c r="W76" i="33"/>
  <c r="W74" i="33"/>
  <c r="W54" i="33"/>
  <c r="W53" i="33"/>
  <c r="W52" i="33"/>
  <c r="W55" i="33"/>
  <c r="W56" i="33"/>
  <c r="W57" i="33"/>
  <c r="W58" i="33"/>
  <c r="W25" i="33"/>
  <c r="W16" i="33"/>
  <c r="W26" i="33"/>
  <c r="W14" i="33"/>
  <c r="W27" i="33"/>
  <c r="W29" i="33"/>
  <c r="W28" i="33"/>
  <c r="W20" i="33"/>
  <c r="W2" i="33"/>
  <c r="W24" i="33"/>
  <c r="W12" i="33"/>
  <c r="W17" i="33" s="1"/>
  <c r="W21" i="33"/>
  <c r="W30" i="33"/>
  <c r="W19" i="33"/>
  <c r="W23" i="33"/>
  <c r="W22" i="33"/>
  <c r="W18" i="33"/>
  <c r="W31" i="33"/>
  <c r="W15" i="33"/>
  <c r="W13" i="33"/>
  <c r="X3" i="33"/>
  <c r="M32" i="33"/>
  <c r="V32" i="33"/>
  <c r="J32" i="33"/>
  <c r="W78" i="33" l="1"/>
  <c r="W60" i="33"/>
  <c r="W65" i="33"/>
  <c r="W62" i="33"/>
  <c r="W66" i="33"/>
  <c r="W63" i="33"/>
  <c r="W64" i="33"/>
  <c r="W61" i="33"/>
  <c r="W45" i="33" a="1"/>
  <c r="W46" i="33" s="1"/>
  <c r="X4" i="33"/>
  <c r="W59" i="33"/>
  <c r="W67" i="33"/>
  <c r="W69" i="33" s="1"/>
  <c r="W71" i="33" s="1"/>
  <c r="W80" i="33" s="1"/>
  <c r="W82" i="33" s="1"/>
  <c r="X77" i="33"/>
  <c r="X75" i="33"/>
  <c r="X81" i="33"/>
  <c r="X76" i="33"/>
  <c r="X74" i="33"/>
  <c r="X54" i="33"/>
  <c r="X53" i="33"/>
  <c r="X55" i="33"/>
  <c r="X52" i="33"/>
  <c r="X56" i="33"/>
  <c r="X57" i="33"/>
  <c r="X58" i="33"/>
  <c r="W32" i="33"/>
  <c r="X13" i="33"/>
  <c r="X31" i="33"/>
  <c r="X30" i="33"/>
  <c r="X29" i="33"/>
  <c r="X28" i="33"/>
  <c r="X27" i="33"/>
  <c r="X26" i="33"/>
  <c r="X22" i="33"/>
  <c r="X20" i="33"/>
  <c r="X19" i="33"/>
  <c r="X18" i="33"/>
  <c r="X25" i="33"/>
  <c r="X23" i="33"/>
  <c r="X24" i="33"/>
  <c r="X16" i="33"/>
  <c r="X2" i="33"/>
  <c r="X21" i="33"/>
  <c r="X14" i="33"/>
  <c r="X12" i="33"/>
  <c r="Y3" i="33"/>
  <c r="X15" i="33" l="1"/>
  <c r="X32" i="33" s="1"/>
  <c r="X17" i="33"/>
  <c r="X78" i="33"/>
  <c r="X60" i="33"/>
  <c r="X65" i="33"/>
  <c r="X62" i="33"/>
  <c r="X66" i="33"/>
  <c r="X63" i="33"/>
  <c r="X64" i="33"/>
  <c r="X61" i="33"/>
  <c r="X45" i="33" a="1"/>
  <c r="X46" i="33" s="1"/>
  <c r="Y4" i="33"/>
  <c r="X59" i="33"/>
  <c r="X67" i="33"/>
  <c r="X69" i="33" s="1"/>
  <c r="X71" i="33" s="1"/>
  <c r="X80" i="33" s="1"/>
  <c r="X82" i="33" s="1"/>
  <c r="Y77" i="33"/>
  <c r="Y75" i="33"/>
  <c r="Y81" i="33"/>
  <c r="Y76" i="33"/>
  <c r="Y74" i="33"/>
  <c r="Y63" i="33" s="1"/>
  <c r="Y54" i="33"/>
  <c r="Y53" i="33"/>
  <c r="Y55" i="33"/>
  <c r="Y56" i="33"/>
  <c r="Y57" i="33"/>
  <c r="Y58" i="33"/>
  <c r="Y52" i="33"/>
  <c r="Y59" i="33" s="1"/>
  <c r="Y60" i="33"/>
  <c r="Y65" i="33"/>
  <c r="Y62" i="33"/>
  <c r="Y66" i="33"/>
  <c r="Y21" i="33"/>
  <c r="Y27" i="33"/>
  <c r="Y28" i="33"/>
  <c r="Y29" i="33"/>
  <c r="Y12" i="33"/>
  <c r="Y18" i="33"/>
  <c r="Y24" i="33"/>
  <c r="Y25" i="33"/>
  <c r="Y23" i="33"/>
  <c r="Y22" i="33"/>
  <c r="Y31" i="33"/>
  <c r="Y30" i="33"/>
  <c r="Y14" i="33"/>
  <c r="Y16" i="33"/>
  <c r="Y26" i="33"/>
  <c r="Y13" i="33"/>
  <c r="Y2" i="33"/>
  <c r="Y19" i="33"/>
  <c r="Y20" i="33"/>
  <c r="Z3" i="33"/>
  <c r="Y78" i="33" l="1"/>
  <c r="Y64" i="33"/>
  <c r="Y61" i="33"/>
  <c r="Y45" i="33" a="1"/>
  <c r="Y46" i="33" s="1"/>
  <c r="Z4" i="33"/>
  <c r="Y67" i="33"/>
  <c r="Y69" i="33" s="1"/>
  <c r="Y71" i="33" s="1"/>
  <c r="Y80" i="33" s="1"/>
  <c r="Y82" i="33" s="1"/>
  <c r="Z77" i="33"/>
  <c r="Z75" i="33"/>
  <c r="Z81" i="33"/>
  <c r="Z76" i="33"/>
  <c r="Z74" i="33"/>
  <c r="Z54" i="33"/>
  <c r="Z53" i="33"/>
  <c r="Z58" i="33"/>
  <c r="Z52" i="33"/>
  <c r="Z55" i="33"/>
  <c r="Z56" i="33"/>
  <c r="Z57" i="33"/>
  <c r="Z23" i="33"/>
  <c r="Z24" i="33"/>
  <c r="Z27" i="33"/>
  <c r="Z21" i="33"/>
  <c r="Z18" i="33"/>
  <c r="Z19" i="33"/>
  <c r="Z13" i="33"/>
  <c r="Z30" i="33"/>
  <c r="Z14" i="33"/>
  <c r="Z28" i="33"/>
  <c r="Z22" i="33"/>
  <c r="Z26" i="33"/>
  <c r="Z25" i="33"/>
  <c r="Z29" i="33"/>
  <c r="Z20" i="33"/>
  <c r="Z12" i="33"/>
  <c r="Z15" i="33" s="1"/>
  <c r="Z31" i="33"/>
  <c r="Z16" i="33"/>
  <c r="Z2" i="33"/>
  <c r="Z17" i="33"/>
  <c r="AA3" i="33"/>
  <c r="Y15" i="33"/>
  <c r="Y17" i="33"/>
  <c r="Z78" i="33" l="1"/>
  <c r="Z60" i="33"/>
  <c r="Z65" i="33"/>
  <c r="Z62" i="33"/>
  <c r="Z66" i="33"/>
  <c r="Z63" i="33"/>
  <c r="Z64" i="33"/>
  <c r="Z61" i="33"/>
  <c r="Z45" i="33" a="1"/>
  <c r="Z46" i="33" s="1"/>
  <c r="AA4" i="33"/>
  <c r="Z59" i="33"/>
  <c r="Z67" i="33"/>
  <c r="Z69" i="33" s="1"/>
  <c r="Z71" i="33" s="1"/>
  <c r="Z80" i="33" s="1"/>
  <c r="Z82" i="33" s="1"/>
  <c r="AA77" i="33"/>
  <c r="AA75" i="33"/>
  <c r="AA81" i="33"/>
  <c r="AA76" i="33"/>
  <c r="AA74" i="33"/>
  <c r="AA54" i="33"/>
  <c r="AA53" i="33"/>
  <c r="AA55" i="33"/>
  <c r="AA52" i="33"/>
  <c r="AA56" i="33"/>
  <c r="AA57" i="33"/>
  <c r="AA58" i="33"/>
  <c r="Y32" i="33"/>
  <c r="Z32" i="33"/>
  <c r="AA26" i="33"/>
  <c r="AA23" i="33"/>
  <c r="AA13" i="33"/>
  <c r="AA22" i="33"/>
  <c r="AA29" i="33"/>
  <c r="AA2" i="33"/>
  <c r="AA25" i="33"/>
  <c r="AA19" i="33"/>
  <c r="AA18" i="33"/>
  <c r="AA20" i="33"/>
  <c r="AA21" i="33"/>
  <c r="AA12" i="33"/>
  <c r="AA16" i="33"/>
  <c r="AA27" i="33"/>
  <c r="AA14" i="33"/>
  <c r="AA28" i="33"/>
  <c r="AA31" i="33"/>
  <c r="AA30" i="33"/>
  <c r="AA24" i="33"/>
  <c r="AB3" i="33"/>
  <c r="AA45" i="33" l="1" a="1"/>
  <c r="AA46" i="33" s="1"/>
  <c r="AB4" i="33"/>
  <c r="AA59" i="33"/>
  <c r="AA78" i="33"/>
  <c r="AA60" i="33"/>
  <c r="AA65" i="33"/>
  <c r="AA62" i="33"/>
  <c r="AA66" i="33"/>
  <c r="AA63" i="33"/>
  <c r="AA64" i="33"/>
  <c r="AA61" i="33"/>
  <c r="AB77" i="33"/>
  <c r="AB75" i="33"/>
  <c r="AB81" i="33"/>
  <c r="AB76" i="33"/>
  <c r="AB74" i="33"/>
  <c r="AB54" i="33"/>
  <c r="AB53" i="33"/>
  <c r="AB55" i="33"/>
  <c r="AB56" i="33"/>
  <c r="AB57" i="33"/>
  <c r="AB58" i="33"/>
  <c r="AB52" i="33"/>
  <c r="AB23" i="33"/>
  <c r="AB16" i="33"/>
  <c r="AB14" i="33"/>
  <c r="AB21" i="33"/>
  <c r="AB26" i="33"/>
  <c r="AB20" i="33"/>
  <c r="AB30" i="33"/>
  <c r="AB28" i="33"/>
  <c r="AB22" i="33"/>
  <c r="AB18" i="33"/>
  <c r="AB19" i="33"/>
  <c r="AB29" i="33"/>
  <c r="AB13" i="33"/>
  <c r="AB12" i="33"/>
  <c r="AB25" i="33"/>
  <c r="AB2" i="33"/>
  <c r="AB27" i="33"/>
  <c r="AB31" i="33"/>
  <c r="AB24" i="33"/>
  <c r="AC3" i="33"/>
  <c r="AA15" i="33"/>
  <c r="AA17" i="33"/>
  <c r="AB59" i="33" l="1"/>
  <c r="AB60" i="33"/>
  <c r="AB65" i="33"/>
  <c r="AB62" i="33"/>
  <c r="AB66" i="33"/>
  <c r="AB63" i="33"/>
  <c r="AB64" i="33"/>
  <c r="AB45" i="33" a="1"/>
  <c r="AB46" i="33" s="1"/>
  <c r="AC4" i="33"/>
  <c r="AA67" i="33"/>
  <c r="AA69" i="33" s="1"/>
  <c r="AA71" i="33" s="1"/>
  <c r="AA80" i="33" s="1"/>
  <c r="AA82" i="33" s="1"/>
  <c r="AB78" i="33"/>
  <c r="AB61" i="33"/>
  <c r="AC77" i="33"/>
  <c r="AC75" i="33"/>
  <c r="AC81" i="33"/>
  <c r="AC76" i="33"/>
  <c r="AC74" i="33"/>
  <c r="AC54" i="33"/>
  <c r="AC53" i="33"/>
  <c r="AC55" i="33"/>
  <c r="AC56" i="33"/>
  <c r="AC57" i="33"/>
  <c r="AC58" i="33"/>
  <c r="AC52" i="33"/>
  <c r="AC23" i="33"/>
  <c r="AC27" i="33"/>
  <c r="AC25" i="33"/>
  <c r="AC21" i="33"/>
  <c r="AC14" i="33"/>
  <c r="AC29" i="33"/>
  <c r="AC26" i="33"/>
  <c r="AC31" i="33"/>
  <c r="AC30" i="33"/>
  <c r="AC2" i="33"/>
  <c r="AC22" i="33"/>
  <c r="AC18" i="33"/>
  <c r="AC12" i="33"/>
  <c r="AC24" i="33"/>
  <c r="AC28" i="33"/>
  <c r="AC20" i="33"/>
  <c r="AC19" i="33"/>
  <c r="AC13" i="33"/>
  <c r="AC16" i="33"/>
  <c r="AD3" i="33"/>
  <c r="AA32" i="33"/>
  <c r="AB17" i="33"/>
  <c r="AB15" i="33"/>
  <c r="AB67" i="33" l="1"/>
  <c r="AB69" i="33" s="1"/>
  <c r="AB71" i="33" s="1"/>
  <c r="AB80" i="33" s="1"/>
  <c r="AB82" i="33" s="1"/>
  <c r="AC59" i="33"/>
  <c r="AC45" i="33" a="1"/>
  <c r="AC46" i="33" s="1"/>
  <c r="AD4" i="33"/>
  <c r="AC78" i="33"/>
  <c r="AC60" i="33"/>
  <c r="AC65" i="33"/>
  <c r="AC62" i="33"/>
  <c r="AC66" i="33"/>
  <c r="AC63" i="33"/>
  <c r="AC64" i="33"/>
  <c r="AC61" i="33"/>
  <c r="AD77" i="33"/>
  <c r="AD75" i="33"/>
  <c r="AD81" i="33"/>
  <c r="AD76" i="33"/>
  <c r="AD74" i="33"/>
  <c r="AD54" i="33"/>
  <c r="AD53" i="33"/>
  <c r="AD52" i="33"/>
  <c r="AD55" i="33"/>
  <c r="AD56" i="33"/>
  <c r="AD57" i="33"/>
  <c r="AD58" i="33"/>
  <c r="AB32" i="33"/>
  <c r="AD14" i="33"/>
  <c r="AD16" i="33"/>
  <c r="AD23" i="33"/>
  <c r="AD12" i="33"/>
  <c r="AD17" i="33" s="1"/>
  <c r="AD22" i="33"/>
  <c r="AD21" i="33"/>
  <c r="AD28" i="33"/>
  <c r="AD31" i="33"/>
  <c r="AD2" i="33"/>
  <c r="AD27" i="33"/>
  <c r="AD26" i="33"/>
  <c r="AD13" i="33"/>
  <c r="AD15" i="33"/>
  <c r="AD30" i="33"/>
  <c r="AD25" i="33"/>
  <c r="AD20" i="33"/>
  <c r="AD29" i="33"/>
  <c r="AD18" i="33"/>
  <c r="AD19" i="33"/>
  <c r="AD24" i="33"/>
  <c r="AE3" i="33"/>
  <c r="AC15" i="33"/>
  <c r="AC17" i="33"/>
  <c r="AD60" i="33" l="1"/>
  <c r="AD65" i="33"/>
  <c r="AD45" i="33" a="1"/>
  <c r="AD46" i="33" s="1"/>
  <c r="AE4" i="33"/>
  <c r="AC67" i="33"/>
  <c r="AC69" i="33" s="1"/>
  <c r="AC71" i="33" s="1"/>
  <c r="AC80" i="33" s="1"/>
  <c r="AC82" i="33" s="1"/>
  <c r="AD59" i="33"/>
  <c r="AD78" i="33"/>
  <c r="AD62" i="33"/>
  <c r="AD66" i="33"/>
  <c r="AD63" i="33"/>
  <c r="AD64" i="33"/>
  <c r="AD61" i="33"/>
  <c r="AE77" i="33"/>
  <c r="AE75" i="33"/>
  <c r="AE81" i="33"/>
  <c r="AE76" i="33"/>
  <c r="AE74" i="33"/>
  <c r="AE54" i="33"/>
  <c r="AE53" i="33"/>
  <c r="AE52" i="33"/>
  <c r="AE55" i="33"/>
  <c r="AE56" i="33"/>
  <c r="AE57" i="33"/>
  <c r="AE58" i="33"/>
  <c r="AD32" i="33"/>
  <c r="AE22" i="33"/>
  <c r="AE30" i="33"/>
  <c r="AE21" i="33"/>
  <c r="AE29" i="33"/>
  <c r="AE28" i="33"/>
  <c r="AE14" i="33"/>
  <c r="AE27" i="33"/>
  <c r="AE26" i="33"/>
  <c r="AE19" i="33"/>
  <c r="AE16" i="33"/>
  <c r="AE24" i="33"/>
  <c r="AE31" i="33"/>
  <c r="AE23" i="33"/>
  <c r="AE20" i="33"/>
  <c r="AE18" i="33"/>
  <c r="AE12" i="33"/>
  <c r="AE2" i="33"/>
  <c r="AE13" i="33"/>
  <c r="AE15" i="33"/>
  <c r="AE25" i="33"/>
  <c r="AE17" i="33"/>
  <c r="AF3" i="33"/>
  <c r="AC32" i="33"/>
  <c r="AD67" i="33" l="1"/>
  <c r="AD69" i="33" s="1"/>
  <c r="AD71" i="33" s="1"/>
  <c r="AD80" i="33" s="1"/>
  <c r="AD82" i="33" s="1"/>
  <c r="AE60" i="33"/>
  <c r="AE65" i="33"/>
  <c r="AE78" i="33"/>
  <c r="AE62" i="33"/>
  <c r="AE66" i="33"/>
  <c r="AE63" i="33"/>
  <c r="AE64" i="33"/>
  <c r="AE61" i="33"/>
  <c r="AE67" i="33" s="1"/>
  <c r="AE45" i="33" a="1"/>
  <c r="AE46" i="33" s="1"/>
  <c r="AF4" i="33"/>
  <c r="AE59" i="33"/>
  <c r="AF77" i="33"/>
  <c r="AF75" i="33"/>
  <c r="AF81" i="33"/>
  <c r="AF76" i="33"/>
  <c r="AF74" i="33"/>
  <c r="AF54" i="33"/>
  <c r="AF53" i="33"/>
  <c r="AF55" i="33"/>
  <c r="AF58" i="33"/>
  <c r="AF56" i="33"/>
  <c r="AF57" i="33"/>
  <c r="AF52" i="33"/>
  <c r="AF23" i="33"/>
  <c r="AF21" i="33"/>
  <c r="AF29" i="33"/>
  <c r="AF18" i="33"/>
  <c r="AF27" i="33"/>
  <c r="AF16" i="33"/>
  <c r="AF13" i="33"/>
  <c r="AF26" i="33"/>
  <c r="AF14" i="33"/>
  <c r="AF20" i="33"/>
  <c r="AF30" i="33"/>
  <c r="AF12" i="33"/>
  <c r="AF28" i="33"/>
  <c r="AF22" i="33"/>
  <c r="AF31" i="33"/>
  <c r="AF2" i="33"/>
  <c r="AF19" i="33"/>
  <c r="AF24" i="33"/>
  <c r="AF25" i="33"/>
  <c r="AG3" i="33"/>
  <c r="AE32" i="33"/>
  <c r="AE69" i="33" l="1"/>
  <c r="AE71" i="33" s="1"/>
  <c r="AE80" i="33" s="1"/>
  <c r="AE82" i="33" s="1"/>
  <c r="AF59" i="33"/>
  <c r="AF60" i="33"/>
  <c r="AF65" i="33"/>
  <c r="AF45" i="33" a="1"/>
  <c r="AF46" i="33" s="1"/>
  <c r="AG4" i="33"/>
  <c r="AF78" i="33"/>
  <c r="AF62" i="33"/>
  <c r="AF66" i="33"/>
  <c r="AF63" i="33"/>
  <c r="AF64" i="33"/>
  <c r="AF61" i="33"/>
  <c r="AG77" i="33"/>
  <c r="AG75" i="33"/>
  <c r="AG81" i="33"/>
  <c r="AG76" i="33"/>
  <c r="AG74" i="33"/>
  <c r="AG54" i="33"/>
  <c r="AG53" i="33"/>
  <c r="AG52" i="33"/>
  <c r="AG55" i="33"/>
  <c r="AG56" i="33"/>
  <c r="AG57" i="33"/>
  <c r="AG58" i="33"/>
  <c r="AG22" i="33"/>
  <c r="AG24" i="33"/>
  <c r="AG14" i="33"/>
  <c r="AG19" i="33"/>
  <c r="AG20" i="33"/>
  <c r="AG2" i="33"/>
  <c r="AG21" i="33"/>
  <c r="AG13" i="33"/>
  <c r="AG23" i="33"/>
  <c r="AG31" i="33"/>
  <c r="AG25" i="33"/>
  <c r="AG12" i="33"/>
  <c r="AG29" i="33"/>
  <c r="AG30" i="33"/>
  <c r="AG27" i="33"/>
  <c r="AG16" i="33"/>
  <c r="AG28" i="33"/>
  <c r="AG26" i="33"/>
  <c r="AG18" i="33"/>
  <c r="AH3" i="33"/>
  <c r="AF15" i="33"/>
  <c r="AF17" i="33"/>
  <c r="AF67" i="33" l="1"/>
  <c r="AF69" i="33" s="1"/>
  <c r="AF71" i="33" s="1"/>
  <c r="AF80" i="33" s="1"/>
  <c r="AF82" i="33" s="1"/>
  <c r="AG45" i="33" a="1"/>
  <c r="AG46" i="33" s="1"/>
  <c r="AH4" i="33"/>
  <c r="AG78" i="33"/>
  <c r="AG59" i="33"/>
  <c r="AG60" i="33"/>
  <c r="AG65" i="33"/>
  <c r="AG62" i="33"/>
  <c r="AG66" i="33"/>
  <c r="AG63" i="33"/>
  <c r="AG64" i="33"/>
  <c r="AG61" i="33"/>
  <c r="AH75" i="33"/>
  <c r="AH77" i="33"/>
  <c r="AH81" i="33"/>
  <c r="AH76" i="33"/>
  <c r="AH74" i="33"/>
  <c r="AH54" i="33"/>
  <c r="AH53" i="33"/>
  <c r="AH55" i="33"/>
  <c r="AH56" i="33"/>
  <c r="AH57" i="33"/>
  <c r="AH58" i="33"/>
  <c r="AH52" i="33"/>
  <c r="AF32" i="33"/>
  <c r="AH2" i="33"/>
  <c r="AH31" i="33"/>
  <c r="AH12" i="33"/>
  <c r="AH17" i="33" s="1"/>
  <c r="AH16" i="33"/>
  <c r="AH25" i="33"/>
  <c r="AH21" i="33"/>
  <c r="AH30" i="33"/>
  <c r="AH29" i="33"/>
  <c r="AH15" i="33"/>
  <c r="AH20" i="33"/>
  <c r="AH18" i="33"/>
  <c r="AH13" i="33"/>
  <c r="AH23" i="33"/>
  <c r="AH14" i="33"/>
  <c r="AH19" i="33"/>
  <c r="AH24" i="33"/>
  <c r="AH22" i="33"/>
  <c r="AH27" i="33"/>
  <c r="AH28" i="33"/>
  <c r="AH26" i="33"/>
  <c r="AI3" i="33"/>
  <c r="AG15" i="33"/>
  <c r="AG17" i="33"/>
  <c r="AH60" i="33" l="1"/>
  <c r="AH59" i="33"/>
  <c r="AH45" i="33" a="1"/>
  <c r="AH46" i="33" s="1"/>
  <c r="AI4" i="33"/>
  <c r="AG67" i="33"/>
  <c r="AG69" i="33" s="1"/>
  <c r="AG71" i="33" s="1"/>
  <c r="AG80" i="33" s="1"/>
  <c r="AG82" i="33" s="1"/>
  <c r="AH78" i="33"/>
  <c r="AH65" i="33"/>
  <c r="AH62" i="33"/>
  <c r="AH66" i="33"/>
  <c r="AH63" i="33"/>
  <c r="AH64" i="33"/>
  <c r="AH61" i="33"/>
  <c r="AI77" i="33"/>
  <c r="AI75" i="33"/>
  <c r="AI81" i="33"/>
  <c r="AI76" i="33"/>
  <c r="AI74" i="33"/>
  <c r="AI54" i="33"/>
  <c r="AI53" i="33"/>
  <c r="AI55" i="33"/>
  <c r="AI56" i="33"/>
  <c r="AI57" i="33"/>
  <c r="AI58" i="33"/>
  <c r="AI52" i="33"/>
  <c r="AH32" i="33"/>
  <c r="AI18" i="33"/>
  <c r="AI30" i="33"/>
  <c r="AI28" i="33"/>
  <c r="AI24" i="33"/>
  <c r="AI20" i="33"/>
  <c r="AI13" i="33"/>
  <c r="AI19" i="33"/>
  <c r="AI26" i="33"/>
  <c r="AI12" i="33"/>
  <c r="AI25" i="33"/>
  <c r="AI31" i="33"/>
  <c r="AI16" i="33"/>
  <c r="AI27" i="33"/>
  <c r="AI29" i="33"/>
  <c r="AI22" i="33"/>
  <c r="AI21" i="33"/>
  <c r="AI23" i="33"/>
  <c r="AI2" i="33"/>
  <c r="AI14" i="33"/>
  <c r="AJ3" i="33"/>
  <c r="AG32" i="33"/>
  <c r="AH67" i="33" l="1"/>
  <c r="AH69" i="33" s="1"/>
  <c r="AH71" i="33" s="1"/>
  <c r="AH80" i="33" s="1"/>
  <c r="AH82" i="33" s="1"/>
  <c r="AI59" i="33"/>
  <c r="AI78" i="33"/>
  <c r="AI60" i="33"/>
  <c r="AI65" i="33"/>
  <c r="AI62" i="33"/>
  <c r="AI66" i="33"/>
  <c r="AI63" i="33"/>
  <c r="AI64" i="33"/>
  <c r="AI61" i="33"/>
  <c r="AI45" i="33" a="1"/>
  <c r="AI46" i="33" s="1"/>
  <c r="AJ4" i="33"/>
  <c r="AI67" i="33"/>
  <c r="AI17" i="33"/>
  <c r="AI15" i="33"/>
  <c r="AI32" i="33" s="1"/>
  <c r="AJ77" i="33"/>
  <c r="AJ74" i="33"/>
  <c r="AJ75" i="33"/>
  <c r="AJ81" i="33"/>
  <c r="AJ76" i="33"/>
  <c r="AJ78" i="33" s="1"/>
  <c r="AJ54" i="33"/>
  <c r="AJ53" i="33"/>
  <c r="AJ52" i="33"/>
  <c r="AJ55" i="33"/>
  <c r="AJ56" i="33"/>
  <c r="AJ57" i="33"/>
  <c r="AJ58" i="33"/>
  <c r="AJ16" i="33"/>
  <c r="AJ28" i="33"/>
  <c r="AJ12" i="33"/>
  <c r="AJ2" i="33"/>
  <c r="AJ31" i="33"/>
  <c r="AJ18" i="33"/>
  <c r="AJ29" i="33"/>
  <c r="AJ13" i="33"/>
  <c r="AJ14" i="33"/>
  <c r="AJ25" i="33"/>
  <c r="AJ30" i="33"/>
  <c r="AJ20" i="33"/>
  <c r="AJ23" i="33"/>
  <c r="AJ27" i="33"/>
  <c r="AJ19" i="33"/>
  <c r="AJ26" i="33"/>
  <c r="AJ22" i="33"/>
  <c r="AJ24" i="33"/>
  <c r="AJ21" i="33"/>
  <c r="AK3" i="33"/>
  <c r="AI69" i="33" l="1"/>
  <c r="AI71" i="33" s="1"/>
  <c r="AI80" i="33" s="1"/>
  <c r="AI82" i="33" s="1"/>
  <c r="AJ60" i="33"/>
  <c r="AJ65" i="33"/>
  <c r="AJ62" i="33"/>
  <c r="AJ45" i="33" a="1"/>
  <c r="AJ46" i="33" s="1"/>
  <c r="AK4" i="33"/>
  <c r="AJ59" i="33"/>
  <c r="AJ66" i="33"/>
  <c r="AJ63" i="33"/>
  <c r="AJ64" i="33"/>
  <c r="AJ61" i="33"/>
  <c r="AK77" i="33"/>
  <c r="AK74" i="33"/>
  <c r="AK75" i="33"/>
  <c r="AK81" i="33"/>
  <c r="AK76" i="33"/>
  <c r="AK54" i="33"/>
  <c r="AK53" i="33"/>
  <c r="AK55" i="33"/>
  <c r="AK56" i="33"/>
  <c r="AK57" i="33"/>
  <c r="AK58" i="33"/>
  <c r="AK52" i="33"/>
  <c r="AK31" i="33"/>
  <c r="AK23" i="33"/>
  <c r="AK27" i="33"/>
  <c r="AK20" i="33"/>
  <c r="AK21" i="33"/>
  <c r="AK16" i="33"/>
  <c r="AK12" i="33"/>
  <c r="AK15" i="33" s="1"/>
  <c r="AK24" i="33"/>
  <c r="AK13" i="33"/>
  <c r="AK2" i="33"/>
  <c r="AK25" i="33"/>
  <c r="AK28" i="33"/>
  <c r="AK30" i="33"/>
  <c r="AK29" i="33"/>
  <c r="AK18" i="33"/>
  <c r="AK26" i="33"/>
  <c r="AK14" i="33"/>
  <c r="AK17" i="33"/>
  <c r="AK19" i="33"/>
  <c r="AK22" i="33"/>
  <c r="AL3" i="33"/>
  <c r="AJ17" i="33"/>
  <c r="AJ15" i="33"/>
  <c r="AJ67" i="33" l="1"/>
  <c r="AJ69" i="33" s="1"/>
  <c r="AJ71" i="33" s="1"/>
  <c r="AJ80" i="33" s="1"/>
  <c r="AJ82" i="33" s="1"/>
  <c r="AK59" i="33"/>
  <c r="AK45" i="33" a="1"/>
  <c r="AK46" i="33" s="1"/>
  <c r="AL4" i="33"/>
  <c r="AK78" i="33"/>
  <c r="AK60" i="33"/>
  <c r="AK65" i="33"/>
  <c r="AK62" i="33"/>
  <c r="AK66" i="33"/>
  <c r="AK63" i="33"/>
  <c r="AK64" i="33"/>
  <c r="AK61" i="33"/>
  <c r="AL77" i="33"/>
  <c r="AL74" i="33"/>
  <c r="AL75" i="33"/>
  <c r="AL81" i="33"/>
  <c r="AL76" i="33"/>
  <c r="AL54" i="33"/>
  <c r="AL53" i="33"/>
  <c r="AL55" i="33"/>
  <c r="AL58" i="33"/>
  <c r="AL52" i="33"/>
  <c r="AL56" i="33"/>
  <c r="AL57" i="33"/>
  <c r="AJ32" i="33"/>
  <c r="AL12" i="33"/>
  <c r="AL20" i="33"/>
  <c r="AL2" i="33"/>
  <c r="AL16" i="33"/>
  <c r="AL28" i="33"/>
  <c r="AL24" i="33"/>
  <c r="AL23" i="33"/>
  <c r="AL31" i="33"/>
  <c r="AL19" i="33"/>
  <c r="AL22" i="33"/>
  <c r="AL21" i="33"/>
  <c r="AL13" i="33"/>
  <c r="AL25" i="33"/>
  <c r="AL14" i="33"/>
  <c r="AL30" i="33"/>
  <c r="AL27" i="33"/>
  <c r="AL26" i="33"/>
  <c r="AL29" i="33"/>
  <c r="AL18" i="33"/>
  <c r="AM3" i="33"/>
  <c r="AK32" i="33"/>
  <c r="AL60" i="33" l="1"/>
  <c r="AL78" i="33"/>
  <c r="AL45" i="33" a="1"/>
  <c r="AL46" i="33" s="1"/>
  <c r="AM4" i="33"/>
  <c r="AK67" i="33"/>
  <c r="AK69" i="33" s="1"/>
  <c r="AK71" i="33" s="1"/>
  <c r="AK80" i="33" s="1"/>
  <c r="AK82" i="33" s="1"/>
  <c r="AL59" i="33"/>
  <c r="AL65" i="33"/>
  <c r="AL62" i="33"/>
  <c r="AL66" i="33"/>
  <c r="AL63" i="33"/>
  <c r="AL64" i="33"/>
  <c r="AL61" i="33"/>
  <c r="AM77" i="33"/>
  <c r="AM74" i="33"/>
  <c r="AM75" i="33"/>
  <c r="AM81" i="33"/>
  <c r="AM76" i="33"/>
  <c r="AM54" i="33"/>
  <c r="AM53" i="33"/>
  <c r="AM55" i="33"/>
  <c r="AM56" i="33"/>
  <c r="AM57" i="33"/>
  <c r="AM58" i="33"/>
  <c r="AM52" i="33"/>
  <c r="AM23" i="33"/>
  <c r="AM29" i="33"/>
  <c r="AM16" i="33"/>
  <c r="AM20" i="33"/>
  <c r="AM31" i="33"/>
  <c r="AM25" i="33"/>
  <c r="AM24" i="33"/>
  <c r="AM2" i="33"/>
  <c r="AM28" i="33"/>
  <c r="AM27" i="33"/>
  <c r="AM18" i="33"/>
  <c r="AM13" i="33"/>
  <c r="AM21" i="33"/>
  <c r="AM26" i="33"/>
  <c r="AM14" i="33"/>
  <c r="AM12" i="33"/>
  <c r="AM17" i="33" s="1"/>
  <c r="AM30" i="33"/>
  <c r="AM15" i="33"/>
  <c r="AM22" i="33"/>
  <c r="AM19" i="33"/>
  <c r="AN3" i="33"/>
  <c r="AL17" i="33"/>
  <c r="AL15" i="33"/>
  <c r="AL67" i="33" l="1"/>
  <c r="AL69" i="33"/>
  <c r="AL71" i="33" s="1"/>
  <c r="AL80" i="33" s="1"/>
  <c r="AL82" i="33" s="1"/>
  <c r="AM60" i="33"/>
  <c r="AM59" i="33"/>
  <c r="AM65" i="33"/>
  <c r="AM62" i="33"/>
  <c r="AM78" i="33"/>
  <c r="AM66" i="33"/>
  <c r="AM63" i="33"/>
  <c r="AM64" i="33"/>
  <c r="AM61" i="33"/>
  <c r="AM45" i="33" a="1"/>
  <c r="AM46" i="33" s="1"/>
  <c r="AN4" i="33"/>
  <c r="AM67" i="33"/>
  <c r="AN77" i="33"/>
  <c r="AN74" i="33"/>
  <c r="AN75" i="33"/>
  <c r="AN81" i="33"/>
  <c r="AN76" i="33"/>
  <c r="AN78" i="33" s="1"/>
  <c r="AN54" i="33"/>
  <c r="AN53" i="33"/>
  <c r="AN55" i="33"/>
  <c r="AN56" i="33"/>
  <c r="AN57" i="33"/>
  <c r="AN58" i="33"/>
  <c r="AN52" i="33"/>
  <c r="AL32" i="33"/>
  <c r="AN12" i="33"/>
  <c r="AN21" i="33"/>
  <c r="AN16" i="33"/>
  <c r="AN14" i="33"/>
  <c r="AN19" i="33"/>
  <c r="AN24" i="33"/>
  <c r="AN20" i="33"/>
  <c r="AN18" i="33"/>
  <c r="AN29" i="33"/>
  <c r="AN31" i="33"/>
  <c r="AN13" i="33"/>
  <c r="AN26" i="33"/>
  <c r="AN25" i="33"/>
  <c r="AN27" i="33"/>
  <c r="AN22" i="33"/>
  <c r="AN28" i="33"/>
  <c r="AN2" i="33"/>
  <c r="AN23" i="33"/>
  <c r="AN30" i="33"/>
  <c r="AO3" i="33"/>
  <c r="AM32" i="33"/>
  <c r="AN17" i="33" l="1"/>
  <c r="AN15" i="33"/>
  <c r="AN32" i="33" s="1"/>
  <c r="AM69" i="33"/>
  <c r="AM71" i="33" s="1"/>
  <c r="AM80" i="33" s="1"/>
  <c r="AM82" i="33" s="1"/>
  <c r="AN59" i="33"/>
  <c r="AN60" i="33"/>
  <c r="AN65" i="33"/>
  <c r="AN62" i="33"/>
  <c r="AN66" i="33"/>
  <c r="AN63" i="33"/>
  <c r="AN45" i="33" a="1"/>
  <c r="AN46" i="33" s="1"/>
  <c r="AO4" i="33"/>
  <c r="AN64" i="33"/>
  <c r="AN61" i="33"/>
  <c r="AO77" i="33"/>
  <c r="AO74" i="33"/>
  <c r="AO75" i="33"/>
  <c r="AO81" i="33"/>
  <c r="AO76" i="33"/>
  <c r="AO78" i="33" s="1"/>
  <c r="AO54" i="33"/>
  <c r="AO53" i="33"/>
  <c r="AO55" i="33"/>
  <c r="AO52" i="33"/>
  <c r="AO56" i="33"/>
  <c r="AO57" i="33"/>
  <c r="AO58" i="33"/>
  <c r="AO21" i="33"/>
  <c r="AO25" i="33"/>
  <c r="AO31" i="33"/>
  <c r="AO24" i="33"/>
  <c r="AO20" i="33"/>
  <c r="AO22" i="33"/>
  <c r="AO13" i="33"/>
  <c r="AO14" i="33"/>
  <c r="AO23" i="33"/>
  <c r="AO26" i="33"/>
  <c r="AO2" i="33"/>
  <c r="AO30" i="33"/>
  <c r="AO12" i="33"/>
  <c r="AO18" i="33"/>
  <c r="AO28" i="33"/>
  <c r="AO16" i="33"/>
  <c r="AO19" i="33"/>
  <c r="AO29" i="33"/>
  <c r="AO27" i="33"/>
  <c r="AP3" i="33"/>
  <c r="AN67" i="33" l="1"/>
  <c r="AN69" i="33"/>
  <c r="AN71" i="33" s="1"/>
  <c r="AN80" i="33" s="1"/>
  <c r="AN82" i="33" s="1"/>
  <c r="AO45" i="33" a="1"/>
  <c r="AO46" i="33" s="1"/>
  <c r="AP4" i="33"/>
  <c r="AO59" i="33"/>
  <c r="AO60" i="33"/>
  <c r="AO65" i="33"/>
  <c r="AO62" i="33"/>
  <c r="AO66" i="33"/>
  <c r="AO63" i="33"/>
  <c r="AO64" i="33"/>
  <c r="AO61" i="33"/>
  <c r="AP75" i="33"/>
  <c r="AP77" i="33"/>
  <c r="AP74" i="33"/>
  <c r="AP81" i="33"/>
  <c r="AP76" i="33"/>
  <c r="AP54" i="33"/>
  <c r="AP53" i="33"/>
  <c r="AP52" i="33"/>
  <c r="AP55" i="33"/>
  <c r="AP56" i="33"/>
  <c r="AP57" i="33"/>
  <c r="AP58" i="33"/>
  <c r="AP26" i="33"/>
  <c r="AP31" i="33"/>
  <c r="AP23" i="33"/>
  <c r="AP27" i="33"/>
  <c r="AP20" i="33"/>
  <c r="AP19" i="33"/>
  <c r="AP16" i="33"/>
  <c r="AP22" i="33"/>
  <c r="AP21" i="33"/>
  <c r="AP30" i="33"/>
  <c r="AP2" i="33"/>
  <c r="AP28" i="33"/>
  <c r="AP25" i="33"/>
  <c r="AP14" i="33"/>
  <c r="AP24" i="33"/>
  <c r="AP18" i="33"/>
  <c r="AP12" i="33"/>
  <c r="AP29" i="33"/>
  <c r="AP13" i="33"/>
  <c r="AQ3" i="33"/>
  <c r="AO17" i="33"/>
  <c r="AO15" i="33"/>
  <c r="AP60" i="33" l="1"/>
  <c r="AP78" i="33"/>
  <c r="AP45" i="33" a="1"/>
  <c r="AP46" i="33" s="1"/>
  <c r="AQ4" i="33"/>
  <c r="AO67" i="33"/>
  <c r="AO69" i="33" s="1"/>
  <c r="AO71" i="33" s="1"/>
  <c r="AO80" i="33" s="1"/>
  <c r="AO82" i="33" s="1"/>
  <c r="AP59" i="33"/>
  <c r="AP65" i="33"/>
  <c r="AP62" i="33"/>
  <c r="AP66" i="33"/>
  <c r="AP63" i="33"/>
  <c r="AP64" i="33"/>
  <c r="AP61" i="33"/>
  <c r="AQ75" i="33"/>
  <c r="AQ77" i="33"/>
  <c r="AQ74" i="33"/>
  <c r="AQ81" i="33"/>
  <c r="AQ76" i="33"/>
  <c r="AQ54" i="33"/>
  <c r="AQ53" i="33"/>
  <c r="AQ55" i="33"/>
  <c r="AQ58" i="33"/>
  <c r="AQ56" i="33"/>
  <c r="AQ57" i="33"/>
  <c r="AQ52" i="33"/>
  <c r="AO32" i="33"/>
  <c r="AQ21" i="33"/>
  <c r="AQ19" i="33"/>
  <c r="AQ14" i="33"/>
  <c r="AQ18" i="33"/>
  <c r="AQ26" i="33"/>
  <c r="AQ12" i="33"/>
  <c r="AQ17" i="33" s="1"/>
  <c r="AQ31" i="33"/>
  <c r="AQ30" i="33"/>
  <c r="AQ15" i="33"/>
  <c r="AQ27" i="33"/>
  <c r="AQ13" i="33"/>
  <c r="AQ24" i="33"/>
  <c r="AQ22" i="33"/>
  <c r="AQ23" i="33"/>
  <c r="AQ20" i="33"/>
  <c r="AQ28" i="33"/>
  <c r="AQ25" i="33"/>
  <c r="AQ16" i="33"/>
  <c r="AQ2" i="33"/>
  <c r="AQ29" i="33"/>
  <c r="AR3" i="33"/>
  <c r="AP17" i="33"/>
  <c r="AP15" i="33"/>
  <c r="AP67" i="33" l="1"/>
  <c r="AP69" i="33" s="1"/>
  <c r="AP71" i="33" s="1"/>
  <c r="AP80" i="33" s="1"/>
  <c r="AP82" i="33" s="1"/>
  <c r="AQ59" i="33"/>
  <c r="AQ60" i="33"/>
  <c r="AQ65" i="33"/>
  <c r="AQ62" i="33"/>
  <c r="AQ66" i="33"/>
  <c r="AQ78" i="33"/>
  <c r="AQ63" i="33"/>
  <c r="AQ64" i="33"/>
  <c r="AQ61" i="33"/>
  <c r="AQ45" i="33" a="1"/>
  <c r="AQ46" i="33" s="1"/>
  <c r="AR4" i="33"/>
  <c r="AR75" i="33"/>
  <c r="AR77" i="33"/>
  <c r="AR74" i="33"/>
  <c r="AR81" i="33"/>
  <c r="AR76" i="33"/>
  <c r="AR78" i="33" s="1"/>
  <c r="AR54" i="33"/>
  <c r="AR53" i="33"/>
  <c r="AR55" i="33"/>
  <c r="AR58" i="33"/>
  <c r="AR52" i="33"/>
  <c r="AR56" i="33"/>
  <c r="AR57" i="33"/>
  <c r="AP32" i="33"/>
  <c r="AR12" i="33"/>
  <c r="AR17" i="33" s="1"/>
  <c r="AR16" i="33"/>
  <c r="AR14" i="33"/>
  <c r="AR13" i="33"/>
  <c r="AR22" i="33"/>
  <c r="AR29" i="33"/>
  <c r="AR15" i="33"/>
  <c r="AR25" i="33"/>
  <c r="AR23" i="33"/>
  <c r="AR21" i="33"/>
  <c r="AR30" i="33"/>
  <c r="AR20" i="33"/>
  <c r="AR26" i="33"/>
  <c r="AR24" i="33"/>
  <c r="AR31" i="33"/>
  <c r="AR19" i="33"/>
  <c r="AR27" i="33"/>
  <c r="AR18" i="33"/>
  <c r="AR28" i="33"/>
  <c r="AR2" i="33"/>
  <c r="AS3" i="33"/>
  <c r="AQ32" i="33"/>
  <c r="AQ67" i="33" l="1"/>
  <c r="AQ69" i="33" s="1"/>
  <c r="AQ71" i="33" s="1"/>
  <c r="AQ80" i="33" s="1"/>
  <c r="AQ82" i="33" s="1"/>
  <c r="AR60" i="33"/>
  <c r="AR65" i="33"/>
  <c r="AR62" i="33"/>
  <c r="AR66" i="33"/>
  <c r="AR63" i="33"/>
  <c r="AR64" i="33"/>
  <c r="AR61" i="33"/>
  <c r="AR67" i="33" s="1"/>
  <c r="AR45" i="33" a="1"/>
  <c r="AR46" i="33" s="1"/>
  <c r="AS4" i="33"/>
  <c r="AR59" i="33"/>
  <c r="AS75" i="33"/>
  <c r="AS77" i="33"/>
  <c r="AS74" i="33"/>
  <c r="AS81" i="33"/>
  <c r="AS76" i="33"/>
  <c r="AS54" i="33"/>
  <c r="AS53" i="33"/>
  <c r="AS52" i="33"/>
  <c r="AS55" i="33"/>
  <c r="AS56" i="33"/>
  <c r="AS57" i="33"/>
  <c r="AS58" i="33"/>
  <c r="AR32" i="33"/>
  <c r="AS19" i="33"/>
  <c r="AS31" i="33"/>
  <c r="AS21" i="33"/>
  <c r="AS27" i="33"/>
  <c r="AS18" i="33"/>
  <c r="AS13" i="33"/>
  <c r="AS23" i="33"/>
  <c r="AS28" i="33"/>
  <c r="AS26" i="33"/>
  <c r="AS29" i="33"/>
  <c r="AS25" i="33"/>
  <c r="AS24" i="33"/>
  <c r="AS20" i="33"/>
  <c r="AS30" i="33"/>
  <c r="AS2" i="33"/>
  <c r="AS14" i="33"/>
  <c r="AS22" i="33"/>
  <c r="AS12" i="33"/>
  <c r="AS16" i="33"/>
  <c r="AT3" i="33"/>
  <c r="AR69" i="33" l="1"/>
  <c r="AR71" i="33" s="1"/>
  <c r="AR80" i="33" s="1"/>
  <c r="AR82" i="33" s="1"/>
  <c r="AS78" i="33"/>
  <c r="AS60" i="33"/>
  <c r="AS65" i="33"/>
  <c r="AS62" i="33"/>
  <c r="AS66" i="33"/>
  <c r="AS63" i="33"/>
  <c r="AS64" i="33"/>
  <c r="AS61" i="33"/>
  <c r="AS15" i="33"/>
  <c r="AS17" i="33"/>
  <c r="AS45" i="33" a="1"/>
  <c r="AS46" i="33" s="1"/>
  <c r="AT4" i="33"/>
  <c r="AS59" i="33"/>
  <c r="AS67" i="33"/>
  <c r="AS69" i="33" s="1"/>
  <c r="AS71" i="33" s="1"/>
  <c r="AS80" i="33" s="1"/>
  <c r="AS82" i="33" s="1"/>
  <c r="AT75" i="33"/>
  <c r="AT77" i="33"/>
  <c r="AT74" i="33"/>
  <c r="AT60" i="33" s="1"/>
  <c r="AT81" i="33"/>
  <c r="AT76" i="33"/>
  <c r="AT54" i="33"/>
  <c r="AT53" i="33"/>
  <c r="AT55" i="33"/>
  <c r="AT52" i="33"/>
  <c r="AT56" i="33"/>
  <c r="AT57" i="33"/>
  <c r="AT58" i="33"/>
  <c r="AT25" i="33"/>
  <c r="AT20" i="33"/>
  <c r="AT2" i="33"/>
  <c r="AT16" i="33"/>
  <c r="AT24" i="33"/>
  <c r="AT14" i="33"/>
  <c r="AT30" i="33"/>
  <c r="AT23" i="33"/>
  <c r="AT22" i="33"/>
  <c r="AT21" i="33"/>
  <c r="AT27" i="33"/>
  <c r="AT28" i="33"/>
  <c r="AT18" i="33"/>
  <c r="AT13" i="33"/>
  <c r="AT31" i="33"/>
  <c r="AT19" i="33"/>
  <c r="AT12" i="33"/>
  <c r="AT29" i="33"/>
  <c r="AT26" i="33"/>
  <c r="AU3" i="33"/>
  <c r="AS32" i="33" l="1"/>
  <c r="AT78" i="33"/>
  <c r="AT65" i="33"/>
  <c r="AT62" i="33"/>
  <c r="AT66" i="33"/>
  <c r="AT45" i="33" a="1"/>
  <c r="AT46" i="33" s="1"/>
  <c r="AU4" i="33"/>
  <c r="AT59" i="33"/>
  <c r="AT63" i="33"/>
  <c r="AT64" i="33"/>
  <c r="AT61" i="33"/>
  <c r="AT67" i="33" s="1"/>
  <c r="AT69" i="33" s="1"/>
  <c r="AT71" i="33" s="1"/>
  <c r="AT80" i="33" s="1"/>
  <c r="AT82" i="33" s="1"/>
  <c r="AT17" i="33"/>
  <c r="AT15" i="33"/>
  <c r="AT32" i="33" s="1"/>
  <c r="AU75" i="33"/>
  <c r="AU77" i="33"/>
  <c r="AU74" i="33"/>
  <c r="AU81" i="33"/>
  <c r="AU76" i="33"/>
  <c r="AU54" i="33"/>
  <c r="AU53" i="33"/>
  <c r="AU55" i="33"/>
  <c r="AU56" i="33"/>
  <c r="AU57" i="33"/>
  <c r="AU58" i="33"/>
  <c r="AU52" i="33"/>
  <c r="AU29" i="33"/>
  <c r="AU13" i="33"/>
  <c r="AU25" i="33"/>
  <c r="AU14" i="33"/>
  <c r="AU23" i="33"/>
  <c r="AU2" i="33"/>
  <c r="AU27" i="33"/>
  <c r="AU21" i="33"/>
  <c r="AU28" i="33"/>
  <c r="AU19" i="33"/>
  <c r="AU24" i="33"/>
  <c r="AU31" i="33"/>
  <c r="AU16" i="33"/>
  <c r="AU30" i="33"/>
  <c r="AU22" i="33"/>
  <c r="AU12" i="33"/>
  <c r="AU18" i="33"/>
  <c r="AU26" i="33"/>
  <c r="AU20" i="33"/>
  <c r="AV3" i="33"/>
  <c r="AU59" i="33" l="1"/>
  <c r="AU45" i="33" a="1"/>
  <c r="AU46" i="33" s="1"/>
  <c r="AV4" i="33"/>
  <c r="AU78" i="33"/>
  <c r="AU60" i="33"/>
  <c r="AU65" i="33"/>
  <c r="AU62" i="33"/>
  <c r="AU66" i="33"/>
  <c r="AU63" i="33"/>
  <c r="AU64" i="33"/>
  <c r="AU61" i="33"/>
  <c r="AU15" i="33"/>
  <c r="AU17" i="33"/>
  <c r="AV75" i="33"/>
  <c r="AV77" i="33"/>
  <c r="AV74" i="33"/>
  <c r="AV81" i="33"/>
  <c r="AV76" i="33"/>
  <c r="AV78" i="33" s="1"/>
  <c r="AV54" i="33"/>
  <c r="AV53" i="33"/>
  <c r="AV55" i="33"/>
  <c r="AV56" i="33"/>
  <c r="AV57" i="33"/>
  <c r="AV58" i="33"/>
  <c r="AV52" i="33"/>
  <c r="AV2" i="33"/>
  <c r="AV20" i="33"/>
  <c r="AV31" i="33"/>
  <c r="AV25" i="33"/>
  <c r="AV30" i="33"/>
  <c r="AV18" i="33"/>
  <c r="AV19" i="33"/>
  <c r="AV28" i="33"/>
  <c r="AV23" i="33"/>
  <c r="AV13" i="33"/>
  <c r="AV21" i="33"/>
  <c r="AV27" i="33"/>
  <c r="AV29" i="33"/>
  <c r="AV24" i="33"/>
  <c r="AV14" i="33"/>
  <c r="AV16" i="33"/>
  <c r="AV26" i="33"/>
  <c r="AV22" i="33"/>
  <c r="AV12" i="33"/>
  <c r="AW3" i="33"/>
  <c r="AV60" i="33" l="1"/>
  <c r="AV59" i="33"/>
  <c r="AU32" i="33"/>
  <c r="AV45" i="33" a="1"/>
  <c r="AV46" i="33" s="1"/>
  <c r="AW4" i="33"/>
  <c r="AU67" i="33"/>
  <c r="AU69" i="33" s="1"/>
  <c r="AU71" i="33" s="1"/>
  <c r="AU80" i="33" s="1"/>
  <c r="AU82" i="33" s="1"/>
  <c r="AV65" i="33"/>
  <c r="AV62" i="33"/>
  <c r="AV66" i="33"/>
  <c r="AV63" i="33"/>
  <c r="AV64" i="33"/>
  <c r="AV61" i="33"/>
  <c r="AV67" i="33" s="1"/>
  <c r="AV69" i="33" s="1"/>
  <c r="AV71" i="33" s="1"/>
  <c r="AV80" i="33" s="1"/>
  <c r="AV82" i="33" s="1"/>
  <c r="AV15" i="33"/>
  <c r="AV17" i="33"/>
  <c r="AW75" i="33"/>
  <c r="AW77" i="33"/>
  <c r="AW74" i="33"/>
  <c r="AW81" i="33"/>
  <c r="AW76" i="33"/>
  <c r="AW78" i="33" s="1"/>
  <c r="AW54" i="33"/>
  <c r="AW53" i="33"/>
  <c r="AW55" i="33"/>
  <c r="AW52" i="33"/>
  <c r="AW56" i="33"/>
  <c r="AW57" i="33"/>
  <c r="AW58" i="33"/>
  <c r="AW2" i="33"/>
  <c r="AW26" i="33"/>
  <c r="AW22" i="33"/>
  <c r="AW30" i="33"/>
  <c r="AW28" i="33"/>
  <c r="AW20" i="33"/>
  <c r="AW21" i="33"/>
  <c r="AW29" i="33"/>
  <c r="AW24" i="33"/>
  <c r="AW31" i="33"/>
  <c r="AW13" i="33"/>
  <c r="AW27" i="33"/>
  <c r="AW25" i="33"/>
  <c r="AW23" i="33"/>
  <c r="AW18" i="33"/>
  <c r="AW16" i="33"/>
  <c r="AW14" i="33"/>
  <c r="AW19" i="33"/>
  <c r="AW12" i="33"/>
  <c r="AX3" i="33"/>
  <c r="AW60" i="33" l="1"/>
  <c r="AV32" i="33"/>
  <c r="AX128" i="33"/>
  <c r="AX127" i="33"/>
  <c r="AW45" i="33" a="1"/>
  <c r="AW46" i="33" s="1"/>
  <c r="AX4" i="33"/>
  <c r="AW59" i="33"/>
  <c r="AW65" i="33"/>
  <c r="AW62" i="33"/>
  <c r="AW66" i="33"/>
  <c r="AW63" i="33"/>
  <c r="AW64" i="33"/>
  <c r="AW61" i="33"/>
  <c r="AW67" i="33" s="1"/>
  <c r="AW15" i="33"/>
  <c r="AW17" i="33"/>
  <c r="AW32" i="33" s="1"/>
  <c r="AX75" i="33"/>
  <c r="AX77" i="33"/>
  <c r="AX74" i="33"/>
  <c r="AX81" i="33"/>
  <c r="AX76" i="33"/>
  <c r="AX54" i="33"/>
  <c r="AX53" i="33"/>
  <c r="AX55" i="33"/>
  <c r="AX52" i="33"/>
  <c r="AX56" i="33"/>
  <c r="AX57" i="33"/>
  <c r="AX58" i="33"/>
  <c r="AX19" i="33"/>
  <c r="AX2" i="33"/>
  <c r="AX22" i="33"/>
  <c r="AX31" i="33"/>
  <c r="AX26" i="33"/>
  <c r="AX25" i="33"/>
  <c r="AX18" i="33"/>
  <c r="AX30" i="33"/>
  <c r="AX16" i="33"/>
  <c r="AX14" i="33"/>
  <c r="AX29" i="33"/>
  <c r="AX28" i="33"/>
  <c r="AX24" i="33"/>
  <c r="AX21" i="33"/>
  <c r="AX23" i="33"/>
  <c r="AX12" i="33"/>
  <c r="AX20" i="33"/>
  <c r="AX27" i="33"/>
  <c r="AX13" i="33"/>
  <c r="AY3" i="33"/>
  <c r="AW69" i="33" l="1"/>
  <c r="AW71" i="33" s="1"/>
  <c r="AW80" i="33" s="1"/>
  <c r="AW82" i="33" s="1"/>
  <c r="AX65" i="33"/>
  <c r="AY128" i="33"/>
  <c r="AY127" i="33"/>
  <c r="AX45" i="33" a="1"/>
  <c r="AX46" i="33" s="1"/>
  <c r="AY4" i="33"/>
  <c r="AX78" i="33"/>
  <c r="AX59" i="33"/>
  <c r="AX60" i="33"/>
  <c r="AX62" i="33"/>
  <c r="AX66" i="33"/>
  <c r="AX63" i="33"/>
  <c r="AX64" i="33"/>
  <c r="AX61" i="33"/>
  <c r="AX15" i="33"/>
  <c r="AX17" i="33"/>
  <c r="AY75" i="33"/>
  <c r="AY77" i="33"/>
  <c r="AY74" i="33"/>
  <c r="AY81" i="33"/>
  <c r="AY76" i="33"/>
  <c r="AY54" i="33"/>
  <c r="AY53" i="33"/>
  <c r="AY58" i="33"/>
  <c r="AY55" i="33"/>
  <c r="AY56" i="33"/>
  <c r="AY57" i="33"/>
  <c r="AY52" i="33"/>
  <c r="AY14" i="33"/>
  <c r="AY24" i="33"/>
  <c r="AY12" i="33"/>
  <c r="AY2" i="33"/>
  <c r="AY20" i="33"/>
  <c r="AY25" i="33"/>
  <c r="AY21" i="33"/>
  <c r="AY16" i="33"/>
  <c r="AY19" i="33"/>
  <c r="AY22" i="33"/>
  <c r="AY31" i="33"/>
  <c r="AY18" i="33"/>
  <c r="AY13" i="33"/>
  <c r="AY28" i="33"/>
  <c r="AY30" i="33"/>
  <c r="AY26" i="33"/>
  <c r="AY23" i="33"/>
  <c r="AY29" i="33"/>
  <c r="AY27" i="33"/>
  <c r="AZ3" i="33"/>
  <c r="AY59" i="33" l="1"/>
  <c r="AX32" i="33"/>
  <c r="AY65" i="33"/>
  <c r="AY60" i="33"/>
  <c r="AY63" i="33"/>
  <c r="AY64" i="33"/>
  <c r="AY61" i="33"/>
  <c r="AZ128" i="33"/>
  <c r="AZ127" i="33"/>
  <c r="AY45" i="33" a="1"/>
  <c r="AY46" i="33" s="1"/>
  <c r="AZ4" i="33"/>
  <c r="AX67" i="33"/>
  <c r="AX69" i="33" s="1"/>
  <c r="AX71" i="33" s="1"/>
  <c r="AX80" i="33" s="1"/>
  <c r="AX82" i="33" s="1"/>
  <c r="AY78" i="33"/>
  <c r="AY62" i="33"/>
  <c r="AY66" i="33"/>
  <c r="AZ75" i="33"/>
  <c r="AZ77" i="33"/>
  <c r="AZ74" i="33"/>
  <c r="AZ81" i="33"/>
  <c r="AZ76" i="33"/>
  <c r="AZ54" i="33"/>
  <c r="AZ53" i="33"/>
  <c r="AZ55" i="33"/>
  <c r="AZ56" i="33"/>
  <c r="AZ57" i="33"/>
  <c r="AZ58" i="33"/>
  <c r="AZ52" i="33"/>
  <c r="AZ12" i="33"/>
  <c r="AZ23" i="33"/>
  <c r="AZ25" i="33"/>
  <c r="AZ21" i="33"/>
  <c r="AZ13" i="33"/>
  <c r="AZ20" i="33"/>
  <c r="AZ27" i="33"/>
  <c r="AZ24" i="33"/>
  <c r="AZ2" i="33"/>
  <c r="AZ14" i="33"/>
  <c r="AZ18" i="33"/>
  <c r="AZ30" i="33"/>
  <c r="AZ26" i="33"/>
  <c r="AZ16" i="33"/>
  <c r="AZ31" i="33"/>
  <c r="AZ22" i="33"/>
  <c r="AZ19" i="33"/>
  <c r="AZ29" i="33"/>
  <c r="AZ28" i="33"/>
  <c r="BA3" i="33"/>
  <c r="AY17" i="33"/>
  <c r="AY15" i="33"/>
  <c r="AZ59" i="33" l="1"/>
  <c r="AY67" i="33"/>
  <c r="AY69" i="33" s="1"/>
  <c r="AY71" i="33" s="1"/>
  <c r="AY80" i="33" s="1"/>
  <c r="AY82" i="33" s="1"/>
  <c r="BA128" i="33"/>
  <c r="BA127" i="33"/>
  <c r="AZ45" i="33" a="1"/>
  <c r="AZ46" i="33" s="1"/>
  <c r="BA4" i="33"/>
  <c r="AZ78" i="33"/>
  <c r="AZ60" i="33"/>
  <c r="AZ65" i="33"/>
  <c r="AZ62" i="33"/>
  <c r="AZ66" i="33"/>
  <c r="AZ63" i="33"/>
  <c r="AZ64" i="33"/>
  <c r="AZ61" i="33"/>
  <c r="BA77" i="33"/>
  <c r="BA74" i="33"/>
  <c r="BA81" i="33"/>
  <c r="BA75" i="33"/>
  <c r="BA76" i="33"/>
  <c r="BA54" i="33"/>
  <c r="BA53" i="33"/>
  <c r="BA55" i="33"/>
  <c r="BA56" i="33"/>
  <c r="BA57" i="33"/>
  <c r="BA58" i="33"/>
  <c r="BA52" i="33"/>
  <c r="AY32" i="33"/>
  <c r="BA25" i="33"/>
  <c r="BA30" i="33"/>
  <c r="BA26" i="33"/>
  <c r="BA16" i="33"/>
  <c r="BA23" i="33"/>
  <c r="BA13" i="33"/>
  <c r="BA22" i="33"/>
  <c r="BA14" i="33"/>
  <c r="BA20" i="33"/>
  <c r="BA18" i="33"/>
  <c r="BA31" i="33"/>
  <c r="BA12" i="33"/>
  <c r="BA19" i="33"/>
  <c r="BA24" i="33"/>
  <c r="BA27" i="33"/>
  <c r="BA29" i="33"/>
  <c r="BA2" i="33"/>
  <c r="BA28" i="33"/>
  <c r="BA21" i="33"/>
  <c r="BB3" i="33"/>
  <c r="AZ17" i="33"/>
  <c r="AZ15" i="33"/>
  <c r="BA59" i="33" l="1"/>
  <c r="BB128" i="33"/>
  <c r="BB127" i="33"/>
  <c r="BA45" i="33" a="1"/>
  <c r="BA46" i="33" s="1"/>
  <c r="BB4" i="33"/>
  <c r="BA78" i="33"/>
  <c r="AZ67" i="33"/>
  <c r="AZ69" i="33" s="1"/>
  <c r="AZ71" i="33" s="1"/>
  <c r="AZ80" i="33" s="1"/>
  <c r="AZ82" i="33" s="1"/>
  <c r="BA60" i="33"/>
  <c r="BA65" i="33"/>
  <c r="BA62" i="33"/>
  <c r="BA66" i="33"/>
  <c r="BA63" i="33"/>
  <c r="BA64" i="33"/>
  <c r="BA61" i="33"/>
  <c r="BA15" i="33"/>
  <c r="BA32" i="33" s="1"/>
  <c r="BA17" i="33"/>
  <c r="BB77" i="33"/>
  <c r="BB74" i="33"/>
  <c r="BB81" i="33"/>
  <c r="BB75" i="33"/>
  <c r="BB76" i="33"/>
  <c r="BB78" i="33" s="1"/>
  <c r="BB54" i="33"/>
  <c r="BB53" i="33"/>
  <c r="BB55" i="33"/>
  <c r="BB56" i="33"/>
  <c r="BB57" i="33"/>
  <c r="BB58" i="33"/>
  <c r="BB52" i="33"/>
  <c r="AZ32" i="33"/>
  <c r="BB20" i="33"/>
  <c r="BB22" i="33"/>
  <c r="BB16" i="33"/>
  <c r="BB26" i="33"/>
  <c r="BB2" i="33"/>
  <c r="BB31" i="33"/>
  <c r="BB25" i="33"/>
  <c r="BB19" i="33"/>
  <c r="BB14" i="33"/>
  <c r="BB29" i="33"/>
  <c r="BB28" i="33"/>
  <c r="BB27" i="33"/>
  <c r="BB30" i="33"/>
  <c r="BB13" i="33"/>
  <c r="BB21" i="33"/>
  <c r="BB18" i="33"/>
  <c r="BB12" i="33"/>
  <c r="BB24" i="33"/>
  <c r="BB23" i="33"/>
  <c r="BC3" i="33"/>
  <c r="BB59" i="33" l="1"/>
  <c r="BB60" i="33"/>
  <c r="BB65" i="33"/>
  <c r="BB62" i="33"/>
  <c r="BB66" i="33"/>
  <c r="BB63" i="33"/>
  <c r="BB64" i="33"/>
  <c r="BB61" i="33"/>
  <c r="BC128" i="33"/>
  <c r="BC127" i="33"/>
  <c r="BB45" i="33" a="1"/>
  <c r="BB46" i="33" s="1"/>
  <c r="BC4" i="33"/>
  <c r="BB67" i="33"/>
  <c r="BB69" i="33" s="1"/>
  <c r="BB71" i="33" s="1"/>
  <c r="BB80" i="33" s="1"/>
  <c r="BB82" i="33" s="1"/>
  <c r="BA67" i="33"/>
  <c r="BA69" i="33" s="1"/>
  <c r="BA71" i="33" s="1"/>
  <c r="BA80" i="33" s="1"/>
  <c r="BA82" i="33" s="1"/>
  <c r="BC77" i="33"/>
  <c r="BC74" i="33"/>
  <c r="BC81" i="33"/>
  <c r="BC75" i="33"/>
  <c r="BC76" i="33"/>
  <c r="BC54" i="33"/>
  <c r="BC53" i="33"/>
  <c r="BC55" i="33"/>
  <c r="BC56" i="33"/>
  <c r="BC57" i="33"/>
  <c r="BC58" i="33"/>
  <c r="BC52" i="33"/>
  <c r="BC2" i="33"/>
  <c r="BC28" i="33"/>
  <c r="BC19" i="33"/>
  <c r="BC25" i="33"/>
  <c r="BC18" i="33"/>
  <c r="BC22" i="33"/>
  <c r="BC20" i="33"/>
  <c r="BC26" i="33"/>
  <c r="BC21" i="33"/>
  <c r="BC14" i="33"/>
  <c r="BC31" i="33"/>
  <c r="BC24" i="33"/>
  <c r="BC12" i="33"/>
  <c r="BC17" i="33" s="1"/>
  <c r="BC16" i="33"/>
  <c r="BC15" i="33"/>
  <c r="BC13" i="33"/>
  <c r="BC27" i="33"/>
  <c r="BC29" i="33"/>
  <c r="BC30" i="33"/>
  <c r="BC23" i="33"/>
  <c r="BD3" i="33"/>
  <c r="BB15" i="33"/>
  <c r="BB17" i="33"/>
  <c r="BC59" i="33" l="1"/>
  <c r="BB32" i="33"/>
  <c r="BD128" i="33"/>
  <c r="BD127" i="33"/>
  <c r="BC45" i="33" a="1"/>
  <c r="BC46" i="33" s="1"/>
  <c r="BD4" i="33"/>
  <c r="BC78" i="33"/>
  <c r="BC60" i="33"/>
  <c r="BC65" i="33"/>
  <c r="BC62" i="33"/>
  <c r="BC66" i="33"/>
  <c r="BC63" i="33"/>
  <c r="BC64" i="33"/>
  <c r="BC61" i="33"/>
  <c r="BD77" i="33"/>
  <c r="BD74" i="33"/>
  <c r="BD81" i="33"/>
  <c r="BD75" i="33"/>
  <c r="BD76" i="33"/>
  <c r="BD54" i="33"/>
  <c r="BD53" i="33"/>
  <c r="BD55" i="33"/>
  <c r="BD56" i="33"/>
  <c r="BD57" i="33"/>
  <c r="BD58" i="33"/>
  <c r="BD52" i="33"/>
  <c r="BD59" i="33" s="1"/>
  <c r="BD13" i="33"/>
  <c r="BD30" i="33"/>
  <c r="BD27" i="33"/>
  <c r="BD24" i="33"/>
  <c r="BD29" i="33"/>
  <c r="BD12" i="33"/>
  <c r="BD23" i="33"/>
  <c r="BD2" i="33"/>
  <c r="BD22" i="33"/>
  <c r="BD21" i="33"/>
  <c r="BD28" i="33"/>
  <c r="BD25" i="33"/>
  <c r="BD20" i="33"/>
  <c r="BD19" i="33"/>
  <c r="BD26" i="33"/>
  <c r="BD18" i="33"/>
  <c r="BD16" i="33"/>
  <c r="BD14" i="33"/>
  <c r="BD31" i="33"/>
  <c r="BE3" i="33"/>
  <c r="BC32" i="33"/>
  <c r="BD65" i="33" l="1"/>
  <c r="BD60" i="33"/>
  <c r="BD61" i="33"/>
  <c r="BE128" i="33"/>
  <c r="BE127" i="33"/>
  <c r="BD45" i="33" a="1"/>
  <c r="BD46" i="33" s="1"/>
  <c r="BE4" i="33"/>
  <c r="BD78" i="33"/>
  <c r="BC67" i="33"/>
  <c r="BC69" i="33" s="1"/>
  <c r="BC71" i="33" s="1"/>
  <c r="BC80" i="33" s="1"/>
  <c r="BC82" i="33" s="1"/>
  <c r="BD62" i="33"/>
  <c r="BD66" i="33"/>
  <c r="BD63" i="33"/>
  <c r="BD64" i="33"/>
  <c r="BE77" i="33"/>
  <c r="BE74" i="33"/>
  <c r="BE81" i="33"/>
  <c r="BE75" i="33"/>
  <c r="BE76" i="33"/>
  <c r="BE54" i="33"/>
  <c r="BE53" i="33"/>
  <c r="BE55" i="33"/>
  <c r="BE58" i="33"/>
  <c r="BE56" i="33"/>
  <c r="BE57" i="33"/>
  <c r="BE52" i="33"/>
  <c r="BE25" i="33"/>
  <c r="BE20" i="33"/>
  <c r="BE19" i="33"/>
  <c r="BE13" i="33"/>
  <c r="BE24" i="33"/>
  <c r="BE16" i="33"/>
  <c r="BE2" i="33"/>
  <c r="BE30" i="33"/>
  <c r="BE28" i="33"/>
  <c r="BE27" i="33"/>
  <c r="BE12" i="33"/>
  <c r="BE22" i="33"/>
  <c r="BE23" i="33"/>
  <c r="BE26" i="33"/>
  <c r="BE21" i="33"/>
  <c r="BE18" i="33"/>
  <c r="BE31" i="33"/>
  <c r="BE29" i="33"/>
  <c r="BE14" i="33"/>
  <c r="BF3" i="33"/>
  <c r="BD15" i="33"/>
  <c r="BD17" i="33"/>
  <c r="BE60" i="33" l="1"/>
  <c r="BE59" i="33"/>
  <c r="BE65" i="33"/>
  <c r="BD67" i="33"/>
  <c r="BD69" i="33" s="1"/>
  <c r="BD71" i="33" s="1"/>
  <c r="BD80" i="33" s="1"/>
  <c r="BD82" i="33" s="1"/>
  <c r="BF128" i="33"/>
  <c r="BF127" i="33"/>
  <c r="BE45" i="33" a="1"/>
  <c r="BE46" i="33" s="1"/>
  <c r="BF4" i="33"/>
  <c r="BE62" i="33"/>
  <c r="BE66" i="33"/>
  <c r="BE63" i="33"/>
  <c r="BE64" i="33"/>
  <c r="BE78" i="33"/>
  <c r="BE61" i="33"/>
  <c r="BF77" i="33"/>
  <c r="BF74" i="33"/>
  <c r="BF81" i="33"/>
  <c r="BF75" i="33"/>
  <c r="BF76" i="33"/>
  <c r="BF54" i="33"/>
  <c r="BF53" i="33"/>
  <c r="BF55" i="33"/>
  <c r="BF56" i="33"/>
  <c r="BF57" i="33"/>
  <c r="BF58" i="33"/>
  <c r="BF52" i="33"/>
  <c r="BD32" i="33"/>
  <c r="BF13" i="33"/>
  <c r="BF26" i="33"/>
  <c r="BF24" i="33"/>
  <c r="BF20" i="33"/>
  <c r="BF27" i="33"/>
  <c r="BF29" i="33"/>
  <c r="BF30" i="33"/>
  <c r="BF12" i="33"/>
  <c r="BF17" i="33" s="1"/>
  <c r="BF31" i="33"/>
  <c r="BF15" i="33"/>
  <c r="BF19" i="33"/>
  <c r="BF21" i="33"/>
  <c r="BF23" i="33"/>
  <c r="BF2" i="33"/>
  <c r="BF28" i="33"/>
  <c r="BF18" i="33"/>
  <c r="BF22" i="33"/>
  <c r="BF16" i="33"/>
  <c r="BF25" i="33"/>
  <c r="BF14" i="33"/>
  <c r="BG3" i="33"/>
  <c r="BE15" i="33"/>
  <c r="BE17" i="33"/>
  <c r="BF59" i="33" l="1"/>
  <c r="BE67" i="33"/>
  <c r="BE69" i="33" s="1"/>
  <c r="BE71" i="33" s="1"/>
  <c r="BE80" i="33" s="1"/>
  <c r="BE82" i="33" s="1"/>
  <c r="BG128" i="33"/>
  <c r="BG127" i="33"/>
  <c r="BF45" i="33" a="1"/>
  <c r="BF46" i="33" s="1"/>
  <c r="BG4" i="33"/>
  <c r="BF78" i="33"/>
  <c r="BF60" i="33"/>
  <c r="BF65" i="33"/>
  <c r="BF62" i="33"/>
  <c r="BF66" i="33"/>
  <c r="BF63" i="33"/>
  <c r="BF64" i="33"/>
  <c r="BF61" i="33"/>
  <c r="BG77" i="33"/>
  <c r="BG74" i="33"/>
  <c r="BG81" i="33"/>
  <c r="BG75" i="33"/>
  <c r="BG76" i="33"/>
  <c r="BG54" i="33"/>
  <c r="BG53" i="33"/>
  <c r="BG55" i="33"/>
  <c r="BG56" i="33"/>
  <c r="BG57" i="33"/>
  <c r="BG58" i="33"/>
  <c r="BG52" i="33"/>
  <c r="BF32" i="33"/>
  <c r="BG24" i="33"/>
  <c r="BG28" i="33"/>
  <c r="BG31" i="33"/>
  <c r="BG13" i="33"/>
  <c r="BG25" i="33"/>
  <c r="BG30" i="33"/>
  <c r="BG20" i="33"/>
  <c r="BG26" i="33"/>
  <c r="BG21" i="33"/>
  <c r="BG23" i="33"/>
  <c r="BG12" i="33"/>
  <c r="BG19" i="33"/>
  <c r="BG29" i="33"/>
  <c r="BG27" i="33"/>
  <c r="BG2" i="33"/>
  <c r="BG14" i="33"/>
  <c r="BG16" i="33"/>
  <c r="BG22" i="33"/>
  <c r="BG18" i="33"/>
  <c r="BH3" i="33"/>
  <c r="BE32" i="33"/>
  <c r="BG17" i="33" l="1"/>
  <c r="BG15" i="33"/>
  <c r="BG32" i="33" s="1"/>
  <c r="BG59" i="33"/>
  <c r="BG60" i="33"/>
  <c r="BG65" i="33"/>
  <c r="BG62" i="33"/>
  <c r="BH128" i="33"/>
  <c r="BH127" i="33"/>
  <c r="BG45" i="33" a="1"/>
  <c r="BG46" i="33" s="1"/>
  <c r="BH4" i="33"/>
  <c r="BG78" i="33"/>
  <c r="BF67" i="33"/>
  <c r="BF69" i="33" s="1"/>
  <c r="BF71" i="33" s="1"/>
  <c r="BF80" i="33" s="1"/>
  <c r="BF82" i="33" s="1"/>
  <c r="BG66" i="33"/>
  <c r="BG63" i="33"/>
  <c r="BG64" i="33"/>
  <c r="BG61" i="33"/>
  <c r="BG67" i="33" s="1"/>
  <c r="BH77" i="33"/>
  <c r="BH74" i="33"/>
  <c r="BH81" i="33"/>
  <c r="BH75" i="33"/>
  <c r="BH76" i="33"/>
  <c r="BH54" i="33"/>
  <c r="BH53" i="33"/>
  <c r="BH55" i="33"/>
  <c r="BH56" i="33"/>
  <c r="BH57" i="33"/>
  <c r="BH58" i="33"/>
  <c r="BH52" i="33"/>
  <c r="BH16" i="33"/>
  <c r="BH31" i="33"/>
  <c r="BH25" i="33"/>
  <c r="BH28" i="33"/>
  <c r="BH12" i="33"/>
  <c r="BH27" i="33"/>
  <c r="BH23" i="33"/>
  <c r="BH26" i="33"/>
  <c r="BH19" i="33"/>
  <c r="BH21" i="33"/>
  <c r="BH20" i="33"/>
  <c r="BH18" i="33"/>
  <c r="BH30" i="33"/>
  <c r="BH22" i="33"/>
  <c r="BH13" i="33"/>
  <c r="BH24" i="33"/>
  <c r="BH14" i="33"/>
  <c r="BH2" i="33"/>
  <c r="BH29" i="33"/>
  <c r="BI3" i="33"/>
  <c r="BG69" i="33" l="1"/>
  <c r="BH59" i="33"/>
  <c r="BH15" i="33"/>
  <c r="BH17" i="33"/>
  <c r="BI128" i="33"/>
  <c r="BI127" i="33"/>
  <c r="BH45" i="33" a="1"/>
  <c r="BH46" i="33" s="1"/>
  <c r="BI4" i="33"/>
  <c r="BG71" i="33"/>
  <c r="BG80" i="33" s="1"/>
  <c r="BG82" i="33" s="1"/>
  <c r="BH78" i="33"/>
  <c r="BH60" i="33"/>
  <c r="BH65" i="33"/>
  <c r="BH62" i="33"/>
  <c r="BH66" i="33"/>
  <c r="BH63" i="33"/>
  <c r="BH64" i="33"/>
  <c r="BH61" i="33"/>
  <c r="BI77" i="33"/>
  <c r="BI74" i="33"/>
  <c r="BI60" i="33" s="1"/>
  <c r="BI81" i="33"/>
  <c r="BI75" i="33"/>
  <c r="BI76" i="33"/>
  <c r="BI78" i="33" s="1"/>
  <c r="BI54" i="33"/>
  <c r="BI53" i="33"/>
  <c r="BI52" i="33"/>
  <c r="BI55" i="33"/>
  <c r="BI56" i="33"/>
  <c r="BI57" i="33"/>
  <c r="BI58" i="33"/>
  <c r="BI19" i="33"/>
  <c r="BI16" i="33"/>
  <c r="BI14" i="33"/>
  <c r="BI2" i="33"/>
  <c r="BI26" i="33"/>
  <c r="BI27" i="33"/>
  <c r="BI23" i="33"/>
  <c r="BI20" i="33"/>
  <c r="BI21" i="33"/>
  <c r="BI12" i="33"/>
  <c r="BI25" i="33"/>
  <c r="BI30" i="33"/>
  <c r="BI29" i="33"/>
  <c r="BI24" i="33"/>
  <c r="BI13" i="33"/>
  <c r="BI31" i="33"/>
  <c r="BI22" i="33"/>
  <c r="BI18" i="33"/>
  <c r="BI28" i="33"/>
  <c r="BJ3" i="33"/>
  <c r="BH32" i="33" l="1"/>
  <c r="BJ128" i="33"/>
  <c r="BJ127" i="33"/>
  <c r="BI45" i="33" a="1"/>
  <c r="BI46" i="33" s="1"/>
  <c r="BJ4" i="33"/>
  <c r="BI59" i="33"/>
  <c r="BH67" i="33"/>
  <c r="BH69" i="33" s="1"/>
  <c r="BH71" i="33" s="1"/>
  <c r="BH80" i="33" s="1"/>
  <c r="BH82" i="33" s="1"/>
  <c r="BI65" i="33"/>
  <c r="BI62" i="33"/>
  <c r="BI66" i="33"/>
  <c r="BI63" i="33"/>
  <c r="BI64" i="33"/>
  <c r="BI61" i="33"/>
  <c r="BJ77" i="33"/>
  <c r="BJ74" i="33"/>
  <c r="BJ81" i="33"/>
  <c r="BJ75" i="33"/>
  <c r="BJ76" i="33"/>
  <c r="BJ54" i="33"/>
  <c r="BJ53" i="33"/>
  <c r="BJ55" i="33"/>
  <c r="BJ52" i="33"/>
  <c r="BJ56" i="33"/>
  <c r="BJ57" i="33"/>
  <c r="BJ58" i="33"/>
  <c r="BJ12" i="33"/>
  <c r="BJ18" i="33"/>
  <c r="BJ30" i="33"/>
  <c r="BJ24" i="33"/>
  <c r="BJ22" i="33"/>
  <c r="BJ16" i="33"/>
  <c r="BJ23" i="33"/>
  <c r="BJ2" i="33"/>
  <c r="BJ27" i="33"/>
  <c r="BJ25" i="33"/>
  <c r="BJ13" i="33"/>
  <c r="BJ14" i="33"/>
  <c r="BJ21" i="33"/>
  <c r="BJ26" i="33"/>
  <c r="BJ29" i="33"/>
  <c r="BJ28" i="33"/>
  <c r="BJ19" i="33"/>
  <c r="BJ31" i="33"/>
  <c r="BJ20" i="33"/>
  <c r="BK3" i="33"/>
  <c r="BI15" i="33"/>
  <c r="BI17" i="33"/>
  <c r="BI67" i="33" l="1"/>
  <c r="BJ78" i="33"/>
  <c r="BJ60" i="33"/>
  <c r="BK128" i="33"/>
  <c r="BK127" i="33"/>
  <c r="BI69" i="33"/>
  <c r="BI71" i="33" s="1"/>
  <c r="BI80" i="33" s="1"/>
  <c r="BI82" i="33" s="1"/>
  <c r="BJ45" i="33" a="1"/>
  <c r="BJ46" i="33" s="1"/>
  <c r="BK4" i="33"/>
  <c r="BJ59" i="33"/>
  <c r="BJ65" i="33"/>
  <c r="BJ62" i="33"/>
  <c r="BJ66" i="33"/>
  <c r="BJ63" i="33"/>
  <c r="BJ64" i="33"/>
  <c r="BJ61" i="33"/>
  <c r="BK77" i="33"/>
  <c r="BK74" i="33"/>
  <c r="BK81" i="33"/>
  <c r="BK75" i="33"/>
  <c r="BK76" i="33"/>
  <c r="BK54" i="33"/>
  <c r="BK53" i="33"/>
  <c r="BK55" i="33"/>
  <c r="BK56" i="33"/>
  <c r="BK57" i="33"/>
  <c r="BK58" i="33"/>
  <c r="BK52" i="33"/>
  <c r="BK59" i="33" s="1"/>
  <c r="BK12" i="33"/>
  <c r="BK15" i="33" s="1"/>
  <c r="BK2" i="33"/>
  <c r="BK14" i="33"/>
  <c r="BK28" i="33"/>
  <c r="BK16" i="33"/>
  <c r="BK30" i="33"/>
  <c r="BK24" i="33"/>
  <c r="BK13" i="33"/>
  <c r="BK26" i="33"/>
  <c r="BK19" i="33"/>
  <c r="BK17" i="33"/>
  <c r="BK22" i="33"/>
  <c r="BK31" i="33"/>
  <c r="BK18" i="33"/>
  <c r="BK23" i="33"/>
  <c r="BK25" i="33"/>
  <c r="BK21" i="33"/>
  <c r="BK29" i="33"/>
  <c r="BK20" i="33"/>
  <c r="BK27" i="33"/>
  <c r="BL3" i="33"/>
  <c r="BI32" i="33"/>
  <c r="BJ15" i="33"/>
  <c r="BJ17" i="33"/>
  <c r="BJ67" i="33" l="1"/>
  <c r="BJ69" i="33"/>
  <c r="BJ71" i="33" s="1"/>
  <c r="BJ80" i="33" s="1"/>
  <c r="BJ82" i="33" s="1"/>
  <c r="BL128" i="33"/>
  <c r="BL127" i="33"/>
  <c r="BK45" i="33" a="1"/>
  <c r="BK46" i="33" s="1"/>
  <c r="BL4" i="33"/>
  <c r="BK78" i="33"/>
  <c r="BK60" i="33"/>
  <c r="BK65" i="33"/>
  <c r="BK62" i="33"/>
  <c r="BK66" i="33"/>
  <c r="BK63" i="33"/>
  <c r="BK64" i="33"/>
  <c r="BK61" i="33"/>
  <c r="BL77" i="33"/>
  <c r="BL74" i="33"/>
  <c r="BL81" i="33"/>
  <c r="BL75" i="33"/>
  <c r="BL76" i="33"/>
  <c r="BL78" i="33" s="1"/>
  <c r="BL54" i="33"/>
  <c r="BL53" i="33"/>
  <c r="BL55" i="33"/>
  <c r="BL56" i="33"/>
  <c r="BL57" i="33"/>
  <c r="BL58" i="33"/>
  <c r="BL52" i="33"/>
  <c r="BJ32" i="33"/>
  <c r="BL2" i="33"/>
  <c r="BL25" i="33"/>
  <c r="BL22" i="33"/>
  <c r="BL31" i="33"/>
  <c r="BL28" i="33"/>
  <c r="BL18" i="33"/>
  <c r="BL30" i="33"/>
  <c r="BL26" i="33"/>
  <c r="BL23" i="33"/>
  <c r="BL24" i="33"/>
  <c r="BL20" i="33"/>
  <c r="BL14" i="33"/>
  <c r="BL13" i="33"/>
  <c r="BL19" i="33"/>
  <c r="BL16" i="33"/>
  <c r="BL12" i="33"/>
  <c r="BL27" i="33"/>
  <c r="BL21" i="33"/>
  <c r="BL29" i="33"/>
  <c r="BM3" i="33"/>
  <c r="BK32" i="33"/>
  <c r="BL59" i="33" l="1"/>
  <c r="BL60" i="33"/>
  <c r="BM128" i="33"/>
  <c r="BM127" i="33"/>
  <c r="BL45" i="33" a="1"/>
  <c r="BL46" i="33" s="1"/>
  <c r="BM4" i="33"/>
  <c r="BK67" i="33"/>
  <c r="BK69" i="33" s="1"/>
  <c r="BK71" i="33" s="1"/>
  <c r="BK80" i="33" s="1"/>
  <c r="BK82" i="33" s="1"/>
  <c r="BL65" i="33"/>
  <c r="BL62" i="33"/>
  <c r="BL66" i="33"/>
  <c r="BL63" i="33"/>
  <c r="BL64" i="33"/>
  <c r="BL61" i="33"/>
  <c r="BM77" i="33"/>
  <c r="BM74" i="33"/>
  <c r="BM81" i="33"/>
  <c r="BM75" i="33"/>
  <c r="BM76" i="33"/>
  <c r="BM78" i="33" s="1"/>
  <c r="BM54" i="33"/>
  <c r="BM53" i="33"/>
  <c r="BM55" i="33"/>
  <c r="BM52" i="33"/>
  <c r="BM56" i="33"/>
  <c r="BM57" i="33"/>
  <c r="BM58" i="33"/>
  <c r="BM29" i="33"/>
  <c r="BM21" i="33"/>
  <c r="BM25" i="33"/>
  <c r="BM27" i="33"/>
  <c r="BM12" i="33"/>
  <c r="BM16" i="33"/>
  <c r="BM23" i="33"/>
  <c r="BM14" i="33"/>
  <c r="BM28" i="33"/>
  <c r="BM22" i="33"/>
  <c r="BM18" i="33"/>
  <c r="BM31" i="33"/>
  <c r="BM19" i="33"/>
  <c r="BM24" i="33"/>
  <c r="BM30" i="33"/>
  <c r="BM20" i="33"/>
  <c r="BM2" i="33"/>
  <c r="BM13" i="33"/>
  <c r="BM26" i="33"/>
  <c r="BN3" i="33"/>
  <c r="BL17" i="33"/>
  <c r="BL15" i="33"/>
  <c r="BM60" i="33" l="1"/>
  <c r="BL67" i="33"/>
  <c r="BL69" i="33" s="1"/>
  <c r="BL71" i="33" s="1"/>
  <c r="BL80" i="33" s="1"/>
  <c r="BL82" i="33" s="1"/>
  <c r="BN128" i="33"/>
  <c r="BN127" i="33"/>
  <c r="BM45" i="33" a="1"/>
  <c r="BM46" i="33" s="1"/>
  <c r="BN4" i="33"/>
  <c r="BM59" i="33"/>
  <c r="BM65" i="33"/>
  <c r="BM62" i="33"/>
  <c r="BM66" i="33"/>
  <c r="BM63" i="33"/>
  <c r="BM64" i="33"/>
  <c r="BM61" i="33"/>
  <c r="BN77" i="33"/>
  <c r="BN74" i="33"/>
  <c r="BN81" i="33"/>
  <c r="BN75" i="33"/>
  <c r="BN76" i="33"/>
  <c r="BN54" i="33"/>
  <c r="BN53" i="33"/>
  <c r="BN55" i="33"/>
  <c r="BN52" i="33"/>
  <c r="BN56" i="33"/>
  <c r="BN57" i="33"/>
  <c r="BN58" i="33"/>
  <c r="BL32" i="33"/>
  <c r="BN25" i="33"/>
  <c r="BN26" i="33"/>
  <c r="BN28" i="33"/>
  <c r="BN21" i="33"/>
  <c r="BN23" i="33"/>
  <c r="BN12" i="33"/>
  <c r="BN24" i="33"/>
  <c r="BN13" i="33"/>
  <c r="BN31" i="33"/>
  <c r="BN27" i="33"/>
  <c r="BN20" i="33"/>
  <c r="BN2" i="33"/>
  <c r="BN29" i="33"/>
  <c r="BN16" i="33"/>
  <c r="BN14" i="33"/>
  <c r="BN30" i="33"/>
  <c r="BN18" i="33"/>
  <c r="BN19" i="33"/>
  <c r="BN22" i="33"/>
  <c r="BO3" i="33"/>
  <c r="BM17" i="33"/>
  <c r="BM15" i="33"/>
  <c r="BM67" i="33" l="1"/>
  <c r="BM69" i="33" s="1"/>
  <c r="BM71" i="33" s="1"/>
  <c r="BM80" i="33" s="1"/>
  <c r="BM82" i="33" s="1"/>
  <c r="BO128" i="33"/>
  <c r="BO127" i="33"/>
  <c r="BN45" i="33" a="1"/>
  <c r="BN46" i="33" s="1"/>
  <c r="BO4" i="33"/>
  <c r="BN78" i="33"/>
  <c r="BN59" i="33"/>
  <c r="BN60" i="33"/>
  <c r="BN65" i="33"/>
  <c r="BN62" i="33"/>
  <c r="BN66" i="33"/>
  <c r="BN63" i="33"/>
  <c r="BN64" i="33"/>
  <c r="BN61" i="33"/>
  <c r="BO77" i="33"/>
  <c r="BO74" i="33"/>
  <c r="BO81" i="33"/>
  <c r="BO75" i="33"/>
  <c r="BO76" i="33"/>
  <c r="BO54" i="33"/>
  <c r="BO53" i="33"/>
  <c r="BO55" i="33"/>
  <c r="BO56" i="33"/>
  <c r="BO57" i="33"/>
  <c r="BO58" i="33"/>
  <c r="BO52" i="33"/>
  <c r="BO59" i="33" s="1"/>
  <c r="BO12" i="33"/>
  <c r="BO27" i="33"/>
  <c r="BO22" i="33"/>
  <c r="BO31" i="33"/>
  <c r="BO18" i="33"/>
  <c r="BO28" i="33"/>
  <c r="BO25" i="33"/>
  <c r="BO14" i="33"/>
  <c r="BO19" i="33"/>
  <c r="BO24" i="33"/>
  <c r="BO20" i="33"/>
  <c r="BO26" i="33"/>
  <c r="BO23" i="33"/>
  <c r="BO21" i="33"/>
  <c r="BO29" i="33"/>
  <c r="BO2" i="33"/>
  <c r="BO13" i="33"/>
  <c r="BO16" i="33"/>
  <c r="BO30" i="33"/>
  <c r="BP3" i="33"/>
  <c r="BM32" i="33"/>
  <c r="BN17" i="33"/>
  <c r="BN15" i="33"/>
  <c r="BO60" i="33" l="1"/>
  <c r="BO65" i="33"/>
  <c r="BO62" i="33"/>
  <c r="BO66" i="33"/>
  <c r="BO63" i="33"/>
  <c r="BO64" i="33"/>
  <c r="BO61" i="33"/>
  <c r="BP128" i="33"/>
  <c r="BP127" i="33"/>
  <c r="BO45" i="33" a="1"/>
  <c r="BO46" i="33" s="1"/>
  <c r="BP4" i="33"/>
  <c r="BO78" i="33"/>
  <c r="BO67" i="33"/>
  <c r="BO69" i="33" s="1"/>
  <c r="BO71" i="33" s="1"/>
  <c r="BO80" i="33" s="1"/>
  <c r="BO82" i="33" s="1"/>
  <c r="BN67" i="33"/>
  <c r="BN69" i="33" s="1"/>
  <c r="BN71" i="33" s="1"/>
  <c r="BN80" i="33" s="1"/>
  <c r="BN82" i="33" s="1"/>
  <c r="BO17" i="33"/>
  <c r="BO15" i="33"/>
  <c r="BO32" i="33" s="1"/>
  <c r="BP77" i="33"/>
  <c r="BP74" i="33"/>
  <c r="BP81" i="33"/>
  <c r="BP75" i="33"/>
  <c r="BP76" i="33"/>
  <c r="BP78" i="33" s="1"/>
  <c r="BP54" i="33"/>
  <c r="BP53" i="33"/>
  <c r="BP55" i="33"/>
  <c r="BP56" i="33"/>
  <c r="BP57" i="33"/>
  <c r="BP58" i="33"/>
  <c r="BP52" i="33"/>
  <c r="BN32" i="33"/>
  <c r="BP27" i="33"/>
  <c r="BP22" i="33"/>
  <c r="BP14" i="33"/>
  <c r="BP18" i="33"/>
  <c r="BP19" i="33"/>
  <c r="BP24" i="33"/>
  <c r="BP29" i="33"/>
  <c r="BP12" i="33"/>
  <c r="BP30" i="33"/>
  <c r="BP20" i="33"/>
  <c r="BP13" i="33"/>
  <c r="BP31" i="33"/>
  <c r="BP25" i="33"/>
  <c r="BP26" i="33"/>
  <c r="BP28" i="33"/>
  <c r="BP21" i="33"/>
  <c r="BP23" i="33"/>
  <c r="BP2" i="33"/>
  <c r="BP16" i="33"/>
  <c r="BQ3" i="33"/>
  <c r="BP59" i="33" l="1"/>
  <c r="BP60" i="33"/>
  <c r="BP65" i="33"/>
  <c r="BQ128" i="33"/>
  <c r="BQ127" i="33"/>
  <c r="BP45" i="33" a="1"/>
  <c r="BP46" i="33" s="1"/>
  <c r="BQ4" i="33"/>
  <c r="BP62" i="33"/>
  <c r="BP66" i="33"/>
  <c r="BP63" i="33"/>
  <c r="BP64" i="33"/>
  <c r="BP61" i="33"/>
  <c r="BP67" i="33" s="1"/>
  <c r="BP69" i="33" s="1"/>
  <c r="BP71" i="33" s="1"/>
  <c r="BP80" i="33" s="1"/>
  <c r="BP82" i="33" s="1"/>
  <c r="BP15" i="33"/>
  <c r="BP17" i="33"/>
  <c r="BP32" i="33" s="1"/>
  <c r="BQ77" i="33"/>
  <c r="BQ74" i="33"/>
  <c r="BQ81" i="33"/>
  <c r="BQ75" i="33"/>
  <c r="BQ76" i="33"/>
  <c r="BQ54" i="33"/>
  <c r="BQ53" i="33"/>
  <c r="BQ55" i="33"/>
  <c r="BQ52" i="33"/>
  <c r="BQ56" i="33"/>
  <c r="BQ57" i="33"/>
  <c r="BQ58" i="33"/>
  <c r="BQ12" i="33"/>
  <c r="BQ26" i="33"/>
  <c r="BQ20" i="33"/>
  <c r="BQ28" i="33"/>
  <c r="BQ24" i="33"/>
  <c r="BQ19" i="33"/>
  <c r="BQ18" i="33"/>
  <c r="BQ31" i="33"/>
  <c r="BQ27" i="33"/>
  <c r="BQ25" i="33"/>
  <c r="BQ22" i="33"/>
  <c r="BQ23" i="33"/>
  <c r="BQ14" i="33"/>
  <c r="BQ2" i="33"/>
  <c r="BQ16" i="33"/>
  <c r="BQ30" i="33"/>
  <c r="BQ29" i="33"/>
  <c r="BQ21" i="33"/>
  <c r="BQ13" i="33"/>
  <c r="BR3" i="33"/>
  <c r="BR128" i="33" l="1"/>
  <c r="BR127" i="33"/>
  <c r="BQ45" i="33" a="1"/>
  <c r="BQ46" i="33" s="1"/>
  <c r="BR4" i="33"/>
  <c r="BQ78" i="33"/>
  <c r="BQ59" i="33"/>
  <c r="BQ60" i="33"/>
  <c r="BQ65" i="33"/>
  <c r="BQ62" i="33"/>
  <c r="BQ66" i="33"/>
  <c r="BQ63" i="33"/>
  <c r="BQ64" i="33"/>
  <c r="BQ61" i="33"/>
  <c r="BQ17" i="33"/>
  <c r="BQ15" i="33"/>
  <c r="BR77" i="33"/>
  <c r="BR74" i="33"/>
  <c r="BR81" i="33"/>
  <c r="BR75" i="33"/>
  <c r="BR76" i="33"/>
  <c r="BR78" i="33" s="1"/>
  <c r="BR54" i="33"/>
  <c r="BR53" i="33"/>
  <c r="BR52" i="33"/>
  <c r="BR55" i="33"/>
  <c r="BR56" i="33"/>
  <c r="BR57" i="33"/>
  <c r="BR58" i="33"/>
  <c r="BR27" i="33"/>
  <c r="BR2" i="33"/>
  <c r="BR23" i="33"/>
  <c r="BR12" i="33"/>
  <c r="BR15" i="33" s="1"/>
  <c r="BR20" i="33"/>
  <c r="BR21" i="33"/>
  <c r="BR17" i="33"/>
  <c r="BR14" i="33"/>
  <c r="BR13" i="33"/>
  <c r="BR26" i="33"/>
  <c r="BR29" i="33"/>
  <c r="BR28" i="33"/>
  <c r="BR25" i="33"/>
  <c r="BR30" i="33"/>
  <c r="BR18" i="33"/>
  <c r="BR22" i="33"/>
  <c r="BR24" i="33"/>
  <c r="BR16" i="33"/>
  <c r="BR31" i="33"/>
  <c r="BR19" i="33"/>
  <c r="BS3" i="33"/>
  <c r="BR60" i="33" l="1"/>
  <c r="BQ32" i="33"/>
  <c r="BS128" i="33"/>
  <c r="BS127" i="33"/>
  <c r="BR45" i="33" a="1"/>
  <c r="BR46" i="33" s="1"/>
  <c r="BS4" i="33"/>
  <c r="BQ67" i="33"/>
  <c r="BQ69" i="33" s="1"/>
  <c r="BQ71" i="33" s="1"/>
  <c r="BQ80" i="33" s="1"/>
  <c r="BQ82" i="33" s="1"/>
  <c r="BR59" i="33"/>
  <c r="BR65" i="33"/>
  <c r="BR62" i="33"/>
  <c r="BR66" i="33"/>
  <c r="BR63" i="33"/>
  <c r="BR64" i="33"/>
  <c r="BR61" i="33"/>
  <c r="BS77" i="33"/>
  <c r="BS74" i="33"/>
  <c r="BS81" i="33"/>
  <c r="BS75" i="33"/>
  <c r="BS76" i="33"/>
  <c r="BS54" i="33"/>
  <c r="BS53" i="33"/>
  <c r="BS55" i="33"/>
  <c r="BS56" i="33"/>
  <c r="BS57" i="33"/>
  <c r="BS58" i="33"/>
  <c r="BS52" i="33"/>
  <c r="BS59" i="33" s="1"/>
  <c r="BS60" i="33"/>
  <c r="BR32" i="33"/>
  <c r="BS12" i="33"/>
  <c r="BS22" i="33"/>
  <c r="BS20" i="33"/>
  <c r="BS24" i="33"/>
  <c r="BS23" i="33"/>
  <c r="BS21" i="33"/>
  <c r="BS25" i="33"/>
  <c r="BS31" i="33"/>
  <c r="BS13" i="33"/>
  <c r="BS14" i="33"/>
  <c r="BS30" i="33"/>
  <c r="BS28" i="33"/>
  <c r="BS29" i="33"/>
  <c r="BS16" i="33"/>
  <c r="BS2" i="33"/>
  <c r="BS27" i="33"/>
  <c r="BS18" i="33"/>
  <c r="BS19" i="33"/>
  <c r="BS26" i="33"/>
  <c r="BT3" i="33"/>
  <c r="BS17" i="33" l="1"/>
  <c r="BS15" i="33"/>
  <c r="BS32" i="33" s="1"/>
  <c r="BR67" i="33"/>
  <c r="BT128" i="33"/>
  <c r="BT127" i="33"/>
  <c r="BR69" i="33"/>
  <c r="BR71" i="33" s="1"/>
  <c r="BR80" i="33" s="1"/>
  <c r="BR82" i="33" s="1"/>
  <c r="BS45" i="33" a="1"/>
  <c r="BS46" i="33" s="1"/>
  <c r="BT4" i="33"/>
  <c r="BS78" i="33"/>
  <c r="BS65" i="33"/>
  <c r="BS62" i="33"/>
  <c r="BS66" i="33"/>
  <c r="BS63" i="33"/>
  <c r="BS64" i="33"/>
  <c r="BS61" i="33"/>
  <c r="BT77" i="33"/>
  <c r="BT74" i="33"/>
  <c r="BT81" i="33"/>
  <c r="BT75" i="33"/>
  <c r="BT76" i="33"/>
  <c r="BT54" i="33"/>
  <c r="BT53" i="33"/>
  <c r="BT55" i="33"/>
  <c r="BT56" i="33"/>
  <c r="BT57" i="33"/>
  <c r="BT58" i="33"/>
  <c r="BT52" i="33"/>
  <c r="BT24" i="33"/>
  <c r="BT19" i="33"/>
  <c r="BT20" i="33"/>
  <c r="BT27" i="33"/>
  <c r="BT28" i="33"/>
  <c r="BT18" i="33"/>
  <c r="BT30" i="33"/>
  <c r="BT31" i="33"/>
  <c r="BT12" i="33"/>
  <c r="BT29" i="33"/>
  <c r="BT21" i="33"/>
  <c r="BT14" i="33"/>
  <c r="BT23" i="33"/>
  <c r="BT16" i="33"/>
  <c r="BT22" i="33"/>
  <c r="BT26" i="33"/>
  <c r="BT13" i="33"/>
  <c r="BT25" i="33"/>
  <c r="BT2" i="33"/>
  <c r="BU3" i="33"/>
  <c r="BT17" i="33" l="1"/>
  <c r="BT15" i="33"/>
  <c r="BT32" i="33" s="1"/>
  <c r="BS67" i="33"/>
  <c r="BS69" i="33" s="1"/>
  <c r="BS71" i="33" s="1"/>
  <c r="BS80" i="33" s="1"/>
  <c r="BS82" i="33" s="1"/>
  <c r="BU128" i="33"/>
  <c r="BU127" i="33"/>
  <c r="BT59" i="33"/>
  <c r="BT45" i="33" a="1"/>
  <c r="BT46" i="33" s="1"/>
  <c r="BU4" i="33"/>
  <c r="BU45" i="33" s="1" a="1"/>
  <c r="BU46" i="33" s="1"/>
  <c r="BT78" i="33"/>
  <c r="BT60" i="33"/>
  <c r="BT65" i="33"/>
  <c r="BT62" i="33"/>
  <c r="BT66" i="33"/>
  <c r="BT63" i="33"/>
  <c r="BT64" i="33"/>
  <c r="BT61" i="33"/>
  <c r="BU77" i="33"/>
  <c r="BU74" i="33"/>
  <c r="BU81" i="33"/>
  <c r="BU75" i="33"/>
  <c r="BU76" i="33"/>
  <c r="BU54" i="33"/>
  <c r="BU53" i="33"/>
  <c r="BU52" i="33"/>
  <c r="BU55" i="33"/>
  <c r="BU56" i="33"/>
  <c r="BU57" i="33"/>
  <c r="BU58" i="33"/>
  <c r="BU60" i="33"/>
  <c r="BU65" i="33"/>
  <c r="BU62" i="33"/>
  <c r="BU66" i="33"/>
  <c r="BU63" i="33"/>
  <c r="BU64" i="33"/>
  <c r="BU61" i="33"/>
  <c r="F86" i="33"/>
  <c r="BU12" i="33"/>
  <c r="BU13" i="33"/>
  <c r="L13" i="33" s="1"/>
  <c r="BU23" i="33"/>
  <c r="L23" i="33" s="1"/>
  <c r="BU29" i="33"/>
  <c r="L29" i="33" s="1"/>
  <c r="BU30" i="33"/>
  <c r="L30" i="33" s="1"/>
  <c r="BU18" i="33"/>
  <c r="L18" i="33" s="1"/>
  <c r="BU22" i="33"/>
  <c r="L22" i="33" s="1"/>
  <c r="BU24" i="33"/>
  <c r="L24" i="33" s="1"/>
  <c r="BU20" i="33"/>
  <c r="L20" i="33" s="1"/>
  <c r="BU26" i="33"/>
  <c r="L26" i="33" s="1"/>
  <c r="BU28" i="33"/>
  <c r="L28" i="33" s="1"/>
  <c r="BU19" i="33"/>
  <c r="L19" i="33" s="1"/>
  <c r="BU14" i="33"/>
  <c r="L14" i="33" s="1"/>
  <c r="BU2" i="33"/>
  <c r="BU16" i="33"/>
  <c r="L16" i="33" s="1"/>
  <c r="BU27" i="33"/>
  <c r="L27" i="33" s="1"/>
  <c r="BU25" i="33"/>
  <c r="L25" i="33" s="1"/>
  <c r="BU21" i="33"/>
  <c r="L21" i="33" s="1"/>
  <c r="BU31" i="33"/>
  <c r="L31" i="33" s="1"/>
  <c r="K87" i="33" l="1"/>
  <c r="BT87" i="33" s="1"/>
  <c r="BT88" i="33" s="1"/>
  <c r="BT89" i="33" s="1"/>
  <c r="G3" i="33"/>
  <c r="G4" i="33" s="1"/>
  <c r="BU15" i="33"/>
  <c r="BU17" i="33"/>
  <c r="L17" i="33" s="1"/>
  <c r="BT67" i="33"/>
  <c r="BT69" i="33" s="1"/>
  <c r="BT71" i="33" s="1"/>
  <c r="BT80" i="33" s="1"/>
  <c r="BT82" i="33" s="1"/>
  <c r="BU78" i="33"/>
  <c r="BU59" i="33"/>
  <c r="BU67" i="33"/>
  <c r="BU69" i="33" s="1"/>
  <c r="BU71" i="33" s="1"/>
  <c r="BU80" i="33" s="1"/>
  <c r="BU82" i="33" s="1"/>
  <c r="BT94" i="33" l="1"/>
  <c r="BI87" i="33"/>
  <c r="BI88" i="33" s="1"/>
  <c r="BI89" i="33" s="1"/>
  <c r="BI94" i="33" s="1"/>
  <c r="BS87" i="33"/>
  <c r="BS88" i="33" s="1"/>
  <c r="BS89" i="33" s="1"/>
  <c r="BS94" i="33" s="1"/>
  <c r="BR87" i="33"/>
  <c r="BR88" i="33" s="1"/>
  <c r="BR89" i="33" s="1"/>
  <c r="BR94" i="33" s="1"/>
  <c r="BQ87" i="33"/>
  <c r="BQ88" i="33" s="1"/>
  <c r="BQ89" i="33" s="1"/>
  <c r="BQ94" i="33" s="1"/>
  <c r="BP87" i="33"/>
  <c r="BP88" i="33" s="1"/>
  <c r="BP89" i="33" s="1"/>
  <c r="BP94" i="33" s="1"/>
  <c r="BO87" i="33"/>
  <c r="BO88" i="33" s="1"/>
  <c r="BO89" i="33" s="1"/>
  <c r="BO94" i="33" s="1"/>
  <c r="BN87" i="33"/>
  <c r="BN88" i="33" s="1"/>
  <c r="BN89" i="33" s="1"/>
  <c r="BN94" i="33" s="1"/>
  <c r="BM87" i="33"/>
  <c r="BM88" i="33" s="1"/>
  <c r="BM89" i="33" s="1"/>
  <c r="BM94" i="33" s="1"/>
  <c r="BL87" i="33"/>
  <c r="BL88" i="33" s="1"/>
  <c r="BL89" i="33" s="1"/>
  <c r="BL94" i="33" s="1"/>
  <c r="BK87" i="33"/>
  <c r="BK88" i="33" s="1"/>
  <c r="BK89" i="33" s="1"/>
  <c r="BK94" i="33" s="1"/>
  <c r="BJ87" i="33"/>
  <c r="BJ88" i="33" s="1"/>
  <c r="BJ89" i="33" s="1"/>
  <c r="BJ94" i="33" s="1"/>
  <c r="BH87" i="33"/>
  <c r="BH88" i="33" s="1"/>
  <c r="BH89" i="33" s="1"/>
  <c r="BH94" i="33" s="1"/>
  <c r="BG87" i="33"/>
  <c r="BG88" i="33" s="1"/>
  <c r="BG89" i="33" s="1"/>
  <c r="BG94" i="33" s="1"/>
  <c r="BF87" i="33"/>
  <c r="BF88" i="33" s="1"/>
  <c r="BF89" i="33" s="1"/>
  <c r="BF94" i="33" s="1"/>
  <c r="BE87" i="33"/>
  <c r="BE88" i="33" s="1"/>
  <c r="BE89" i="33" s="1"/>
  <c r="BE94" i="33" s="1"/>
  <c r="BU87" i="33"/>
  <c r="BD87" i="33"/>
  <c r="BD88" i="33" s="1"/>
  <c r="BD89" i="33" s="1"/>
  <c r="BD94" i="33" s="1"/>
  <c r="BC87" i="33"/>
  <c r="BC88" i="33" s="1"/>
  <c r="BC89" i="33" s="1"/>
  <c r="BC94" i="33" s="1"/>
  <c r="BB87" i="33"/>
  <c r="BB88" i="33" s="1"/>
  <c r="BB89" i="33" s="1"/>
  <c r="BB94" i="33" s="1"/>
  <c r="BA87" i="33"/>
  <c r="BA88" i="33" s="1"/>
  <c r="BA89" i="33" s="1"/>
  <c r="BA94" i="33" s="1"/>
  <c r="AZ87" i="33"/>
  <c r="AZ88" i="33" s="1"/>
  <c r="AZ89" i="33" s="1"/>
  <c r="AZ94" i="33" s="1"/>
  <c r="AY87" i="33"/>
  <c r="AY88" i="33" s="1"/>
  <c r="AY89" i="33" s="1"/>
  <c r="AY94" i="33" s="1"/>
  <c r="AX87" i="33"/>
  <c r="AX88" i="33" s="1"/>
  <c r="AX89" i="33" s="1"/>
  <c r="AX94" i="33" s="1"/>
  <c r="AW87" i="33"/>
  <c r="AW88" i="33" s="1"/>
  <c r="AW89" i="33" s="1"/>
  <c r="AW94" i="33" s="1"/>
  <c r="AV87" i="33"/>
  <c r="AV88" i="33" s="1"/>
  <c r="AV89" i="33" s="1"/>
  <c r="AV94" i="33" s="1"/>
  <c r="AU87" i="33"/>
  <c r="AU88" i="33" s="1"/>
  <c r="AU89" i="33" s="1"/>
  <c r="AU94" i="33" s="1"/>
  <c r="AT87" i="33"/>
  <c r="AT88" i="33" s="1"/>
  <c r="AT89" i="33" s="1"/>
  <c r="AT94" i="33" s="1"/>
  <c r="AS87" i="33"/>
  <c r="AS88" i="33" s="1"/>
  <c r="AS89" i="33" s="1"/>
  <c r="AS94" i="33" s="1"/>
  <c r="AR87" i="33"/>
  <c r="AR88" i="33" s="1"/>
  <c r="AR89" i="33" s="1"/>
  <c r="AR94" i="33" s="1"/>
  <c r="AQ87" i="33"/>
  <c r="AQ88" i="33" s="1"/>
  <c r="AQ89" i="33" s="1"/>
  <c r="AQ94" i="33" s="1"/>
  <c r="AP87" i="33"/>
  <c r="AP88" i="33" s="1"/>
  <c r="AP89" i="33" s="1"/>
  <c r="AP94" i="33" s="1"/>
  <c r="AO87" i="33"/>
  <c r="AO88" i="33" s="1"/>
  <c r="AO89" i="33" s="1"/>
  <c r="AO94" i="33" s="1"/>
  <c r="AN87" i="33"/>
  <c r="AN88" i="33" s="1"/>
  <c r="AN89" i="33" s="1"/>
  <c r="AN94" i="33" s="1"/>
  <c r="AM87" i="33"/>
  <c r="AM88" i="33" s="1"/>
  <c r="AM89" i="33" s="1"/>
  <c r="AM94" i="33" s="1"/>
  <c r="AL87" i="33"/>
  <c r="AL88" i="33" s="1"/>
  <c r="AL89" i="33" s="1"/>
  <c r="AL94" i="33" s="1"/>
  <c r="AK87" i="33"/>
  <c r="AK88" i="33" s="1"/>
  <c r="AK89" i="33" s="1"/>
  <c r="AK94" i="33" s="1"/>
  <c r="AJ87" i="33"/>
  <c r="AJ88" i="33" s="1"/>
  <c r="AJ89" i="33" s="1"/>
  <c r="AJ94" i="33" s="1"/>
  <c r="AI87" i="33"/>
  <c r="AI88" i="33" s="1"/>
  <c r="AI89" i="33" s="1"/>
  <c r="AI94" i="33" s="1"/>
  <c r="AH87" i="33"/>
  <c r="AH88" i="33" s="1"/>
  <c r="AH89" i="33" s="1"/>
  <c r="AH94" i="33" s="1"/>
  <c r="AG87" i="33"/>
  <c r="AG88" i="33" s="1"/>
  <c r="AG89" i="33" s="1"/>
  <c r="AG94" i="33" s="1"/>
  <c r="AF87" i="33"/>
  <c r="AF88" i="33" s="1"/>
  <c r="AF89" i="33" s="1"/>
  <c r="AF94" i="33" s="1"/>
  <c r="AE87" i="33"/>
  <c r="AE88" i="33" s="1"/>
  <c r="AE89" i="33" s="1"/>
  <c r="AE94" i="33" s="1"/>
  <c r="AD87" i="33"/>
  <c r="AD88" i="33" s="1"/>
  <c r="AD89" i="33" s="1"/>
  <c r="AD94" i="33" s="1"/>
  <c r="AC87" i="33"/>
  <c r="AC88" i="33" s="1"/>
  <c r="AC89" i="33" s="1"/>
  <c r="AC94" i="33" s="1"/>
  <c r="Z87" i="33"/>
  <c r="Z88" i="33" s="1"/>
  <c r="Z89" i="33" s="1"/>
  <c r="Z94" i="33" s="1"/>
  <c r="Y87" i="33"/>
  <c r="Y88" i="33" s="1"/>
  <c r="Y89" i="33" s="1"/>
  <c r="Y94" i="33" s="1"/>
  <c r="V87" i="33"/>
  <c r="V88" i="33" s="1"/>
  <c r="V89" i="33" s="1"/>
  <c r="V94" i="33" s="1"/>
  <c r="U87" i="33"/>
  <c r="U88" i="33" s="1"/>
  <c r="U89" i="33" s="1"/>
  <c r="U94" i="33" s="1"/>
  <c r="R87" i="33"/>
  <c r="R88" i="33" s="1"/>
  <c r="R89" i="33" s="1"/>
  <c r="R94" i="33" s="1"/>
  <c r="M87" i="33"/>
  <c r="M88" i="33" s="1"/>
  <c r="M89" i="33" s="1"/>
  <c r="M94" i="33" s="1"/>
  <c r="N87" i="33"/>
  <c r="N88" i="33" s="1"/>
  <c r="N89" i="33" s="1"/>
  <c r="N94" i="33" s="1"/>
  <c r="Q87" i="33"/>
  <c r="Q88" i="33" s="1"/>
  <c r="Q89" i="33" s="1"/>
  <c r="Q94" i="33" s="1"/>
  <c r="T87" i="33"/>
  <c r="T88" i="33" s="1"/>
  <c r="T89" i="33" s="1"/>
  <c r="T94" i="33" s="1"/>
  <c r="O87" i="33"/>
  <c r="O88" i="33" s="1"/>
  <c r="O89" i="33" s="1"/>
  <c r="O94" i="33" s="1"/>
  <c r="P87" i="33"/>
  <c r="P88" i="33" s="1"/>
  <c r="P89" i="33" s="1"/>
  <c r="P94" i="33" s="1"/>
  <c r="S87" i="33"/>
  <c r="S88" i="33" s="1"/>
  <c r="S89" i="33" s="1"/>
  <c r="S94" i="33" s="1"/>
  <c r="J87" i="33"/>
  <c r="W87" i="33"/>
  <c r="W88" i="33" s="1"/>
  <c r="W89" i="33" s="1"/>
  <c r="W94" i="33" s="1"/>
  <c r="X87" i="33"/>
  <c r="X88" i="33" s="1"/>
  <c r="X89" i="33" s="1"/>
  <c r="X94" i="33" s="1"/>
  <c r="AA87" i="33"/>
  <c r="AA88" i="33" s="1"/>
  <c r="AA89" i="33" s="1"/>
  <c r="AA94" i="33" s="1"/>
  <c r="AB87" i="33"/>
  <c r="AB88" i="33" s="1"/>
  <c r="AB89" i="33" s="1"/>
  <c r="AB94" i="33" s="1"/>
  <c r="K88" i="33"/>
  <c r="L15" i="33"/>
  <c r="BU32" i="33"/>
  <c r="L32" i="33" s="1"/>
  <c r="J88" i="33"/>
  <c r="K89" i="33"/>
  <c r="J89" i="33" s="1"/>
  <c r="BU88" i="33" l="1"/>
  <c r="BU89" i="33" s="1"/>
  <c r="BU94" i="33" s="1"/>
  <c r="K95" i="33" l="1"/>
  <c r="K96" i="33"/>
  <c r="K94" i="33"/>
  <c r="AX35" i="33" l="1"/>
  <c r="AY35" i="33"/>
  <c r="AZ35" i="33"/>
  <c r="BA35" i="33"/>
  <c r="BB35" i="33"/>
  <c r="BC35" i="33"/>
  <c r="BD35" i="33"/>
  <c r="BE35" i="33"/>
  <c r="BF35" i="33"/>
  <c r="BG35" i="33"/>
  <c r="BH35" i="33"/>
  <c r="BI35" i="33"/>
  <c r="BJ35" i="33"/>
  <c r="BK35" i="33"/>
  <c r="BL35" i="33"/>
  <c r="BM35" i="33"/>
  <c r="BN35" i="33"/>
  <c r="BO35" i="33"/>
  <c r="BP35" i="33"/>
  <c r="BQ35" i="33"/>
  <c r="BR35" i="33"/>
  <c r="BS35" i="33"/>
  <c r="BT35" i="33"/>
  <c r="BU35" i="33"/>
  <c r="D3" i="33"/>
  <c r="I3" i="33"/>
  <c r="K3" i="33"/>
  <c r="D4" i="33"/>
  <c r="I4" i="33"/>
  <c r="K4" i="33"/>
  <c r="J33" i="33"/>
  <c r="K33" i="33"/>
  <c r="L33" i="33"/>
  <c r="N33" i="33"/>
  <c r="O33" i="33"/>
  <c r="P33" i="33"/>
  <c r="Q33" i="33"/>
  <c r="R33" i="33"/>
  <c r="S33" i="33"/>
  <c r="T33" i="33"/>
  <c r="U33" i="33"/>
  <c r="V33" i="33"/>
  <c r="W33" i="33"/>
  <c r="X33" i="33"/>
  <c r="Y33" i="33"/>
  <c r="Z33" i="33"/>
  <c r="AA33" i="33"/>
  <c r="AB33" i="33"/>
  <c r="AC33" i="33"/>
  <c r="AD33" i="33"/>
  <c r="AE33" i="33"/>
  <c r="AF33" i="33"/>
  <c r="AG33" i="33"/>
  <c r="AH33" i="33"/>
  <c r="AI33" i="33"/>
  <c r="AJ33" i="33"/>
  <c r="AK33" i="33"/>
  <c r="AL33" i="33"/>
  <c r="AM33" i="33"/>
  <c r="AN33" i="33"/>
  <c r="AO33" i="33"/>
  <c r="AP33" i="33"/>
  <c r="AQ33" i="33"/>
  <c r="AR33" i="33"/>
  <c r="AS33" i="33"/>
  <c r="AT33" i="33"/>
  <c r="AU33" i="33"/>
  <c r="AV33" i="33"/>
  <c r="AW33" i="33"/>
  <c r="J34" i="33"/>
  <c r="K34" i="33"/>
  <c r="L34" i="33"/>
  <c r="M34" i="33"/>
  <c r="J35" i="33"/>
  <c r="K35" i="33"/>
  <c r="L35" i="33"/>
  <c r="M35" i="33"/>
  <c r="N35" i="33"/>
  <c r="O35" i="33"/>
  <c r="P35" i="33"/>
  <c r="Q35" i="33"/>
  <c r="R35" i="33"/>
  <c r="S35" i="33"/>
  <c r="T35" i="33"/>
  <c r="U35" i="33"/>
  <c r="V35" i="33"/>
  <c r="W35" i="33"/>
  <c r="X35" i="33"/>
  <c r="Y35" i="33"/>
  <c r="Z35" i="33"/>
  <c r="AA35" i="33"/>
  <c r="AB35" i="33"/>
  <c r="AC35" i="33"/>
  <c r="AD35" i="33"/>
  <c r="AE35" i="33"/>
  <c r="AF35" i="33"/>
  <c r="AG35" i="33"/>
  <c r="AH35" i="33"/>
  <c r="AI35" i="33"/>
  <c r="AJ35" i="33"/>
  <c r="AK35" i="33"/>
  <c r="AL35" i="33"/>
  <c r="AM35" i="33"/>
  <c r="AN35" i="33"/>
  <c r="AO35" i="33"/>
  <c r="AP35" i="33"/>
  <c r="AQ35" i="33"/>
  <c r="AR35" i="33"/>
  <c r="AS35" i="33"/>
  <c r="AT35" i="33"/>
  <c r="AU35" i="33"/>
  <c r="AV35" i="33"/>
  <c r="AW35" i="33"/>
  <c r="J38" i="33"/>
  <c r="K38" i="33"/>
  <c r="L38" i="33"/>
  <c r="M38" i="33"/>
  <c r="N38" i="33"/>
  <c r="O38" i="33"/>
  <c r="P38" i="33"/>
  <c r="Q38" i="33"/>
  <c r="R38" i="33"/>
  <c r="S38" i="33"/>
  <c r="T38" i="33"/>
  <c r="U38" i="33"/>
  <c r="V38" i="33"/>
  <c r="W38" i="33"/>
  <c r="X38" i="33"/>
  <c r="Y38" i="33"/>
  <c r="Z38" i="33"/>
  <c r="AA38" i="33"/>
  <c r="AB38" i="33"/>
  <c r="AC38" i="33"/>
  <c r="AD38" i="33"/>
  <c r="AE38" i="33"/>
  <c r="AF38" i="33"/>
  <c r="AG38" i="33"/>
  <c r="AH38" i="33"/>
  <c r="AI38" i="33"/>
  <c r="AJ38" i="33"/>
  <c r="AK38" i="33"/>
  <c r="AL38" i="33"/>
  <c r="AM38" i="33"/>
  <c r="AN38" i="33"/>
  <c r="AO38" i="33"/>
  <c r="AP38" i="33"/>
  <c r="AQ38" i="33"/>
  <c r="AR38" i="33"/>
  <c r="AS38" i="33"/>
  <c r="AT38" i="33"/>
  <c r="AU38" i="33"/>
  <c r="AV38" i="33"/>
  <c r="AW38" i="33"/>
  <c r="AX38" i="33"/>
  <c r="AY38" i="33"/>
  <c r="AZ38" i="33"/>
  <c r="BA38" i="33"/>
  <c r="BB38" i="33"/>
  <c r="BC38" i="33"/>
  <c r="BD38" i="33"/>
  <c r="BE38" i="33"/>
  <c r="BF38" i="33"/>
  <c r="BG38" i="33"/>
  <c r="BH38" i="33"/>
  <c r="BI38" i="33"/>
  <c r="BJ38" i="33"/>
  <c r="BK38" i="33"/>
  <c r="BL38" i="33"/>
  <c r="BM38" i="33"/>
  <c r="BN38" i="33"/>
  <c r="BO38" i="33"/>
  <c r="BP38" i="33"/>
  <c r="BQ38" i="33"/>
  <c r="BR38" i="33"/>
  <c r="BS38" i="33"/>
  <c r="BT38" i="33"/>
  <c r="BU38" i="33"/>
  <c r="J39" i="33"/>
  <c r="K39" i="33"/>
  <c r="L39" i="33"/>
  <c r="M39" i="33"/>
  <c r="N39" i="33"/>
  <c r="O39" i="33"/>
  <c r="P39" i="33"/>
  <c r="Q39" i="33"/>
  <c r="R39" i="33"/>
  <c r="S39" i="33"/>
  <c r="T39" i="33"/>
  <c r="U39" i="33"/>
  <c r="V39" i="33"/>
  <c r="W39" i="33"/>
  <c r="X39" i="33"/>
  <c r="Y39" i="33"/>
  <c r="Z39" i="33"/>
  <c r="AA39" i="33"/>
  <c r="AB39" i="33"/>
  <c r="AC39" i="33"/>
  <c r="AD39" i="33"/>
  <c r="AE39" i="33"/>
  <c r="AF39" i="33"/>
  <c r="AG39" i="33"/>
  <c r="AH39" i="33"/>
  <c r="AI39" i="33"/>
  <c r="AJ39" i="33"/>
  <c r="AK39" i="33"/>
  <c r="AL39" i="33"/>
  <c r="AM39" i="33"/>
  <c r="AN39" i="33"/>
  <c r="AO39" i="33"/>
  <c r="AP39" i="33"/>
  <c r="AQ39" i="33"/>
  <c r="AR39" i="33"/>
  <c r="AS39" i="33"/>
  <c r="AT39" i="33"/>
  <c r="AU39" i="33"/>
  <c r="AV39" i="33"/>
  <c r="AW39" i="33"/>
  <c r="AX39" i="33"/>
  <c r="AY39" i="33"/>
  <c r="AZ39" i="33"/>
  <c r="BA39" i="33"/>
  <c r="BB39" i="33"/>
  <c r="BC39" i="33"/>
  <c r="BD39" i="33"/>
  <c r="BE39" i="33"/>
  <c r="BF39" i="33"/>
  <c r="BG39" i="33"/>
  <c r="BH39" i="33"/>
  <c r="BI39" i="33"/>
  <c r="BJ39" i="33"/>
  <c r="BK39" i="33"/>
  <c r="BL39" i="33"/>
  <c r="BM39" i="33"/>
  <c r="BN39" i="33"/>
  <c r="BO39" i="33"/>
  <c r="BP39" i="33"/>
  <c r="BQ39" i="33"/>
  <c r="BR39" i="33"/>
  <c r="BS39" i="33"/>
  <c r="BT39" i="33"/>
  <c r="BU39" i="33"/>
  <c r="K40" i="33"/>
  <c r="L40" i="33"/>
  <c r="M40" i="33"/>
  <c r="N40" i="33"/>
  <c r="O40" i="33"/>
  <c r="P40" i="33"/>
  <c r="Q40" i="33"/>
  <c r="R40" i="33"/>
  <c r="S40" i="33"/>
  <c r="T40" i="33"/>
  <c r="U40" i="33"/>
  <c r="V40" i="33"/>
  <c r="W40" i="33"/>
  <c r="X40" i="33"/>
  <c r="Y40" i="33"/>
  <c r="Z40" i="33"/>
  <c r="AA40" i="33"/>
  <c r="AB40" i="33"/>
  <c r="AC40" i="33"/>
  <c r="AD40" i="33"/>
  <c r="AE40" i="33"/>
  <c r="AF40" i="33"/>
  <c r="AG40" i="33"/>
  <c r="AH40" i="33"/>
  <c r="AI40" i="33"/>
  <c r="AJ40" i="33"/>
  <c r="AK40" i="33"/>
  <c r="AL40" i="33"/>
  <c r="AM40" i="33"/>
  <c r="AN40" i="33"/>
  <c r="AO40" i="33"/>
  <c r="AP40" i="33"/>
  <c r="AQ40" i="33"/>
  <c r="AR40" i="33"/>
  <c r="AS40" i="33"/>
  <c r="AT40" i="33"/>
  <c r="AU40" i="33"/>
  <c r="AV40" i="33"/>
  <c r="AW40" i="33"/>
  <c r="AX40" i="33"/>
  <c r="AY40" i="33"/>
  <c r="AZ40" i="33"/>
  <c r="BA40" i="33"/>
  <c r="BB40" i="33"/>
  <c r="BC40" i="33"/>
  <c r="BD40" i="33"/>
  <c r="BE40" i="33"/>
  <c r="BF40" i="33"/>
  <c r="BG40" i="33"/>
  <c r="BH40" i="33"/>
  <c r="BI40" i="33"/>
  <c r="BJ40" i="33"/>
  <c r="BK40" i="33"/>
  <c r="BL40" i="33"/>
  <c r="BM40" i="33"/>
  <c r="BN40" i="33"/>
  <c r="BO40" i="33"/>
  <c r="BP40" i="33"/>
  <c r="BQ40" i="33"/>
  <c r="BR40" i="33"/>
  <c r="BS40" i="33"/>
  <c r="BT40" i="33"/>
  <c r="BU40" i="33"/>
  <c r="N42" i="33"/>
  <c r="O42" i="33"/>
  <c r="P42" i="33"/>
  <c r="Q42" i="33"/>
  <c r="R42" i="33"/>
  <c r="S42" i="33"/>
  <c r="T42" i="33"/>
  <c r="U42" i="33"/>
  <c r="V42" i="33"/>
  <c r="W42" i="33"/>
  <c r="X42" i="33"/>
  <c r="Y42" i="33"/>
  <c r="Z42" i="33"/>
  <c r="AA42" i="33"/>
  <c r="AB42" i="33"/>
  <c r="AC42" i="33"/>
  <c r="AD42" i="33"/>
  <c r="AE42" i="33"/>
  <c r="AF42" i="33"/>
  <c r="AG42" i="33"/>
  <c r="AH42" i="33"/>
  <c r="AI42" i="33"/>
  <c r="AJ42" i="33"/>
  <c r="AK42" i="33"/>
  <c r="AL42" i="33"/>
  <c r="AM42" i="33"/>
  <c r="AN42" i="33"/>
  <c r="AO42" i="33"/>
  <c r="AP42" i="33"/>
  <c r="AQ42" i="33"/>
  <c r="AR42" i="33"/>
  <c r="AS42" i="33"/>
  <c r="AT42" i="33"/>
  <c r="AU42" i="33"/>
  <c r="AV42" i="33"/>
  <c r="AW42" i="33"/>
  <c r="AX42" i="33"/>
  <c r="AY42" i="33"/>
  <c r="AZ42" i="33"/>
  <c r="BA42" i="33"/>
  <c r="BB42" i="33"/>
  <c r="BC42" i="33"/>
  <c r="BD42" i="33"/>
  <c r="BE42" i="33"/>
  <c r="BF42" i="33"/>
  <c r="BG42" i="33"/>
  <c r="BH42" i="33"/>
  <c r="BI42" i="33"/>
  <c r="BJ42" i="33"/>
  <c r="BK42" i="33"/>
  <c r="BL42" i="33"/>
  <c r="BM42" i="33"/>
  <c r="BN42" i="33"/>
  <c r="BO42" i="33"/>
  <c r="BP42" i="33"/>
  <c r="BQ42" i="33"/>
  <c r="BR42" i="33"/>
  <c r="BS42" i="33"/>
  <c r="BT42" i="33"/>
  <c r="BU42" i="33"/>
  <c r="M43" i="33"/>
  <c r="N43" i="33"/>
  <c r="O43" i="33"/>
  <c r="P43" i="33"/>
  <c r="Q43" i="33"/>
  <c r="R43" i="33"/>
  <c r="S43" i="33"/>
  <c r="T43" i="33"/>
  <c r="U43" i="33"/>
  <c r="V43" i="33"/>
  <c r="W43" i="33"/>
  <c r="X43" i="33"/>
  <c r="Y43" i="33"/>
  <c r="Z43" i="33"/>
  <c r="AA43" i="33"/>
  <c r="AB43" i="33"/>
  <c r="AC43" i="33"/>
  <c r="AD43" i="33"/>
  <c r="AE43" i="33"/>
  <c r="AF43" i="33"/>
  <c r="AG43" i="33"/>
  <c r="AH43" i="33"/>
  <c r="AI43" i="33"/>
  <c r="AJ43" i="33"/>
  <c r="AK43" i="33"/>
  <c r="AL43" i="33"/>
  <c r="AM43" i="33"/>
  <c r="AN43" i="33"/>
  <c r="AO43" i="33"/>
  <c r="AP43" i="33"/>
  <c r="AQ43" i="33"/>
  <c r="AR43" i="33"/>
  <c r="AS43" i="33"/>
  <c r="AT43" i="33"/>
  <c r="AU43" i="33"/>
  <c r="AV43" i="33"/>
  <c r="AW43" i="33"/>
  <c r="AX43" i="33"/>
  <c r="AY43" i="33"/>
  <c r="AZ43" i="33"/>
  <c r="BA43" i="33"/>
  <c r="BB43" i="33"/>
  <c r="BC43" i="33"/>
  <c r="BD43" i="33"/>
  <c r="BE43" i="33"/>
  <c r="BF43" i="33"/>
  <c r="BG43" i="33"/>
  <c r="BH43" i="33"/>
  <c r="BI43" i="33"/>
  <c r="BJ43" i="33"/>
  <c r="BK43" i="33"/>
  <c r="BL43" i="33"/>
  <c r="BM43" i="33"/>
  <c r="BN43" i="33"/>
  <c r="BO43" i="33"/>
  <c r="BP43" i="33"/>
  <c r="BQ43" i="33"/>
  <c r="BR43" i="33"/>
  <c r="BS43" i="33"/>
  <c r="BT43" i="33"/>
  <c r="BU43" i="33"/>
  <c r="N44" i="33"/>
  <c r="O44" i="33"/>
  <c r="P44" i="33"/>
  <c r="Q44" i="33"/>
  <c r="R44" i="33"/>
  <c r="S44" i="33"/>
  <c r="T44" i="33"/>
  <c r="U44" i="33"/>
  <c r="V44" i="33"/>
  <c r="W44" i="33"/>
  <c r="X44" i="33"/>
  <c r="Y44" i="33"/>
  <c r="Z44" i="33"/>
  <c r="AA44" i="33"/>
  <c r="AB44" i="33"/>
  <c r="AC44" i="33"/>
  <c r="AD44" i="33"/>
  <c r="AE44" i="33"/>
  <c r="AF44" i="33"/>
  <c r="AG44" i="33"/>
  <c r="AH44" i="33"/>
  <c r="AI44" i="33"/>
  <c r="AJ44" i="33"/>
  <c r="AK44" i="33"/>
  <c r="AL44" i="33"/>
  <c r="AM44" i="33"/>
  <c r="AN44" i="33"/>
  <c r="AO44" i="33"/>
  <c r="AP44" i="33"/>
  <c r="AQ44" i="33"/>
  <c r="AR44" i="33"/>
  <c r="AS44" i="33"/>
  <c r="AT44" i="33"/>
  <c r="AU44" i="33"/>
  <c r="AV44" i="33"/>
  <c r="AW44" i="33"/>
  <c r="AX44" i="33"/>
  <c r="AY44" i="33"/>
  <c r="AZ44" i="33"/>
  <c r="BA44" i="33"/>
  <c r="BB44" i="33"/>
  <c r="BC44" i="33"/>
  <c r="BD44" i="33"/>
  <c r="BE44" i="33"/>
  <c r="BF44" i="33"/>
  <c r="BG44" i="33"/>
  <c r="BH44" i="33"/>
  <c r="BI44" i="33"/>
  <c r="BJ44" i="33"/>
  <c r="BK44" i="33"/>
  <c r="BL44" i="33"/>
  <c r="BM44" i="33"/>
  <c r="BN44" i="33"/>
  <c r="BO44" i="33"/>
  <c r="BP44" i="33"/>
  <c r="BQ44" i="33"/>
  <c r="BR44" i="33"/>
  <c r="BS44" i="33"/>
  <c r="BT44" i="33"/>
  <c r="BU44" i="33"/>
  <c r="J90" i="33"/>
  <c r="K90" i="33"/>
  <c r="M90" i="33"/>
  <c r="N90" i="33"/>
  <c r="O90" i="33"/>
  <c r="P90" i="33"/>
  <c r="Q90" i="33"/>
  <c r="R90" i="33"/>
  <c r="S90" i="33"/>
  <c r="T90" i="33"/>
  <c r="U90" i="33"/>
  <c r="V90" i="33"/>
  <c r="W90" i="33"/>
  <c r="X90" i="33"/>
  <c r="Y90" i="33"/>
  <c r="Z90" i="33"/>
  <c r="AA90" i="33"/>
  <c r="AB90" i="33"/>
  <c r="AC90" i="33"/>
  <c r="AD90" i="33"/>
  <c r="AE90" i="33"/>
  <c r="AF90" i="33"/>
  <c r="AG90" i="33"/>
  <c r="AH90" i="33"/>
  <c r="AI90" i="33"/>
  <c r="AJ90" i="33"/>
  <c r="AK90" i="33"/>
  <c r="AL90" i="33"/>
  <c r="AM90" i="33"/>
  <c r="AN90" i="33"/>
  <c r="AO90" i="33"/>
  <c r="AP90" i="33"/>
  <c r="AQ90" i="33"/>
  <c r="AR90" i="33"/>
  <c r="AS90" i="33"/>
  <c r="AT90" i="33"/>
  <c r="AU90" i="33"/>
  <c r="AV90" i="33"/>
  <c r="AW90" i="33"/>
  <c r="AX90" i="33"/>
  <c r="AY90" i="33"/>
  <c r="AZ90" i="33"/>
  <c r="BA90" i="33"/>
  <c r="BB90" i="33"/>
  <c r="BC90" i="33"/>
  <c r="BD90" i="33"/>
  <c r="BE90" i="33"/>
  <c r="BF90" i="33"/>
  <c r="BG90" i="33"/>
  <c r="BH90" i="33"/>
  <c r="BI90" i="33"/>
  <c r="BJ90" i="33"/>
  <c r="BK90" i="33"/>
  <c r="BL90" i="33"/>
  <c r="BM90" i="33"/>
  <c r="BN90" i="33"/>
  <c r="BO90" i="33"/>
  <c r="BP90" i="33"/>
  <c r="BQ90" i="33"/>
  <c r="BR90" i="33"/>
  <c r="BS90" i="33"/>
  <c r="BT90" i="33"/>
  <c r="BU90" i="33"/>
  <c r="J91" i="33"/>
  <c r="K91" i="33"/>
  <c r="M91" i="33"/>
  <c r="N91" i="33"/>
  <c r="O91" i="33"/>
  <c r="P91" i="33"/>
  <c r="Q91" i="33"/>
  <c r="R91" i="33"/>
  <c r="S91" i="33"/>
  <c r="T91" i="33"/>
  <c r="U91" i="33"/>
  <c r="V91" i="33"/>
  <c r="W91" i="33"/>
  <c r="X91" i="33"/>
  <c r="Y91" i="33"/>
  <c r="Z91" i="33"/>
  <c r="AA91" i="33"/>
  <c r="AB91" i="33"/>
  <c r="AC91" i="33"/>
  <c r="AD91" i="33"/>
  <c r="AE91" i="33"/>
  <c r="AF91" i="33"/>
  <c r="AG91" i="33"/>
  <c r="AH91" i="33"/>
  <c r="AI91" i="33"/>
  <c r="AJ91" i="33"/>
  <c r="AK91" i="33"/>
  <c r="AL91" i="33"/>
  <c r="AM91" i="33"/>
  <c r="AN91" i="33"/>
  <c r="AO91" i="33"/>
  <c r="AP91" i="33"/>
  <c r="AQ91" i="33"/>
  <c r="AR91" i="33"/>
  <c r="AS91" i="33"/>
  <c r="AT91" i="33"/>
  <c r="AU91" i="33"/>
  <c r="AV91" i="33"/>
  <c r="AW91" i="33"/>
  <c r="AX91" i="33"/>
  <c r="AY91" i="33"/>
  <c r="AZ91" i="33"/>
  <c r="BA91" i="33"/>
  <c r="BB91" i="33"/>
  <c r="BC91" i="33"/>
  <c r="BD91" i="33"/>
  <c r="BE91" i="33"/>
  <c r="BF91" i="33"/>
  <c r="BG91" i="33"/>
  <c r="BH91" i="33"/>
  <c r="BI91" i="33"/>
  <c r="BJ91" i="33"/>
  <c r="BK91" i="33"/>
  <c r="BL91" i="33"/>
  <c r="BM91" i="33"/>
  <c r="BN91" i="33"/>
  <c r="BO91" i="33"/>
  <c r="BP91" i="33"/>
  <c r="BQ91" i="33"/>
  <c r="BR91" i="33"/>
  <c r="BS91" i="33"/>
  <c r="BT91" i="33"/>
  <c r="BU91" i="33"/>
  <c r="K98" i="33"/>
  <c r="M98" i="33"/>
  <c r="N98" i="33"/>
  <c r="O98" i="33"/>
  <c r="P98" i="33"/>
  <c r="Q98" i="33"/>
  <c r="R98" i="33"/>
  <c r="S98" i="33"/>
  <c r="T98" i="33"/>
  <c r="U98" i="33"/>
  <c r="V98" i="33"/>
  <c r="W98" i="33"/>
  <c r="X98" i="33"/>
  <c r="Y98" i="33"/>
  <c r="Z98" i="33"/>
  <c r="AA98" i="33"/>
  <c r="AB98" i="33"/>
  <c r="AC98" i="33"/>
  <c r="AD98" i="33"/>
  <c r="AE98" i="33"/>
  <c r="AF98" i="33"/>
  <c r="AG98" i="33"/>
  <c r="AH98" i="33"/>
  <c r="AI98" i="33"/>
  <c r="AJ98" i="33"/>
  <c r="AK98" i="33"/>
  <c r="AL98" i="33"/>
  <c r="AM98" i="33"/>
  <c r="AN98" i="33"/>
  <c r="AO98" i="33"/>
  <c r="AP98" i="33"/>
  <c r="AQ98" i="33"/>
  <c r="AR98" i="33"/>
  <c r="AS98" i="33"/>
  <c r="AT98" i="33"/>
  <c r="AU98" i="33"/>
  <c r="AV98" i="33"/>
  <c r="AW98" i="33"/>
  <c r="AX98" i="33"/>
  <c r="AY98" i="33"/>
  <c r="AZ98" i="33"/>
  <c r="BA98" i="33"/>
  <c r="BB98" i="33"/>
  <c r="BC98" i="33"/>
  <c r="BD98" i="33"/>
  <c r="BE98" i="33"/>
  <c r="BF98" i="33"/>
  <c r="BG98" i="33"/>
  <c r="BH98" i="33"/>
  <c r="BI98" i="33"/>
  <c r="BJ98" i="33"/>
  <c r="BK98" i="33"/>
  <c r="BL98" i="33"/>
  <c r="BM98" i="33"/>
  <c r="BN98" i="33"/>
  <c r="BO98" i="33"/>
  <c r="BP98" i="33"/>
  <c r="BQ98" i="33"/>
  <c r="BR98" i="33"/>
  <c r="BS98" i="33"/>
  <c r="BT98" i="33"/>
  <c r="BU98" i="33"/>
  <c r="K99" i="33"/>
  <c r="K100" i="33"/>
  <c r="E104" i="33"/>
  <c r="G104" i="33"/>
  <c r="H104" i="33"/>
  <c r="I104" i="33"/>
  <c r="M104" i="33"/>
  <c r="N104" i="33"/>
  <c r="O104" i="33"/>
  <c r="P104" i="33"/>
  <c r="Q104" i="33"/>
  <c r="R104" i="33"/>
  <c r="S104" i="33"/>
  <c r="T104" i="33"/>
  <c r="U104" i="33"/>
  <c r="V104" i="33"/>
  <c r="W104" i="33"/>
  <c r="X104" i="33"/>
  <c r="Y104" i="33"/>
  <c r="Z104" i="33"/>
  <c r="AA104" i="33"/>
  <c r="AB104" i="33"/>
  <c r="AC104" i="33"/>
  <c r="AD104" i="33"/>
  <c r="AE104" i="33"/>
  <c r="AF104" i="33"/>
  <c r="AG104" i="33"/>
  <c r="AH104" i="33"/>
  <c r="AI104" i="33"/>
  <c r="AJ104" i="33"/>
  <c r="AK104" i="33"/>
  <c r="AL104" i="33"/>
  <c r="AM104" i="33"/>
  <c r="AN104" i="33"/>
  <c r="AO104" i="33"/>
  <c r="AP104" i="33"/>
  <c r="AQ104" i="33"/>
  <c r="AR104" i="33"/>
  <c r="AS104" i="33"/>
  <c r="AT104" i="33"/>
  <c r="AU104" i="33"/>
  <c r="AV104" i="33"/>
  <c r="AW104" i="33"/>
  <c r="AX104" i="33"/>
  <c r="AY104" i="33"/>
  <c r="AZ104" i="33"/>
  <c r="BA104" i="33"/>
  <c r="BB104" i="33"/>
  <c r="BC104" i="33"/>
  <c r="BD104" i="33"/>
  <c r="BE104" i="33"/>
  <c r="BF104" i="33"/>
  <c r="BG104" i="33"/>
  <c r="BH104" i="33"/>
  <c r="BI104" i="33"/>
  <c r="BJ104" i="33"/>
  <c r="BK104" i="33"/>
  <c r="BL104" i="33"/>
  <c r="BM104" i="33"/>
  <c r="BN104" i="33"/>
  <c r="BO104" i="33"/>
  <c r="BP104" i="33"/>
  <c r="BQ104" i="33"/>
  <c r="BR104" i="33"/>
  <c r="BS104" i="33"/>
  <c r="BT104" i="33"/>
  <c r="BU104" i="33"/>
  <c r="E105" i="33"/>
  <c r="G105" i="33"/>
  <c r="H105" i="33"/>
  <c r="I105" i="33"/>
  <c r="M105" i="33"/>
  <c r="N105" i="33"/>
  <c r="O105" i="33"/>
  <c r="P105" i="33"/>
  <c r="Q105" i="33"/>
  <c r="R105" i="33"/>
  <c r="S105" i="33"/>
  <c r="T105" i="33"/>
  <c r="U105" i="33"/>
  <c r="V105" i="33"/>
  <c r="W105" i="33"/>
  <c r="X105" i="33"/>
  <c r="Y105" i="33"/>
  <c r="Z105" i="33"/>
  <c r="AA105" i="33"/>
  <c r="AB105" i="33"/>
  <c r="AC105" i="33"/>
  <c r="AD105" i="33"/>
  <c r="AE105" i="33"/>
  <c r="AF105" i="33"/>
  <c r="AG105" i="33"/>
  <c r="AH105" i="33"/>
  <c r="AI105" i="33"/>
  <c r="AJ105" i="33"/>
  <c r="AK105" i="33"/>
  <c r="AL105" i="33"/>
  <c r="AM105" i="33"/>
  <c r="AN105" i="33"/>
  <c r="AO105" i="33"/>
  <c r="AP105" i="33"/>
  <c r="AQ105" i="33"/>
  <c r="AR105" i="33"/>
  <c r="AS105" i="33"/>
  <c r="AT105" i="33"/>
  <c r="AU105" i="33"/>
  <c r="AV105" i="33"/>
  <c r="AW105" i="33"/>
  <c r="AX105" i="33"/>
  <c r="AY105" i="33"/>
  <c r="AZ105" i="33"/>
  <c r="BA105" i="33"/>
  <c r="BB105" i="33"/>
  <c r="BC105" i="33"/>
  <c r="BD105" i="33"/>
  <c r="BE105" i="33"/>
  <c r="BF105" i="33"/>
  <c r="BG105" i="33"/>
  <c r="BH105" i="33"/>
  <c r="BI105" i="33"/>
  <c r="BJ105" i="33"/>
  <c r="BK105" i="33"/>
  <c r="BL105" i="33"/>
  <c r="BM105" i="33"/>
  <c r="BN105" i="33"/>
  <c r="BO105" i="33"/>
  <c r="BP105" i="33"/>
  <c r="BQ105" i="33"/>
  <c r="BR105" i="33"/>
  <c r="BS105" i="33"/>
  <c r="BT105" i="33"/>
  <c r="BU105" i="33"/>
  <c r="E106" i="33"/>
  <c r="G106" i="33"/>
  <c r="H106" i="33"/>
  <c r="I106" i="33"/>
  <c r="M106" i="33"/>
  <c r="N106" i="33"/>
  <c r="O106" i="33"/>
  <c r="P106" i="33"/>
  <c r="Q106" i="33"/>
  <c r="R106" i="33"/>
  <c r="S106" i="33"/>
  <c r="T106" i="33"/>
  <c r="U106" i="33"/>
  <c r="V106" i="33"/>
  <c r="W106" i="33"/>
  <c r="X106" i="33"/>
  <c r="Y106" i="33"/>
  <c r="Z106" i="33"/>
  <c r="AA106" i="33"/>
  <c r="AB106" i="33"/>
  <c r="AC106" i="33"/>
  <c r="AD106" i="33"/>
  <c r="AE106" i="33"/>
  <c r="AF106" i="33"/>
  <c r="AG106" i="33"/>
  <c r="AH106" i="33"/>
  <c r="AI106" i="33"/>
  <c r="AJ106" i="33"/>
  <c r="AK106" i="33"/>
  <c r="AL106" i="33"/>
  <c r="AM106" i="33"/>
  <c r="AN106" i="33"/>
  <c r="AO106" i="33"/>
  <c r="AP106" i="33"/>
  <c r="AQ106" i="33"/>
  <c r="AR106" i="33"/>
  <c r="AS106" i="33"/>
  <c r="AT106" i="33"/>
  <c r="AU106" i="33"/>
  <c r="AV106" i="33"/>
  <c r="AW106" i="33"/>
  <c r="AX106" i="33"/>
  <c r="AY106" i="33"/>
  <c r="AZ106" i="33"/>
  <c r="BA106" i="33"/>
  <c r="BB106" i="33"/>
  <c r="BC106" i="33"/>
  <c r="BD106" i="33"/>
  <c r="BE106" i="33"/>
  <c r="BF106" i="33"/>
  <c r="BG106" i="33"/>
  <c r="BH106" i="33"/>
  <c r="BI106" i="33"/>
  <c r="BJ106" i="33"/>
  <c r="BK106" i="33"/>
  <c r="BL106" i="33"/>
  <c r="BM106" i="33"/>
  <c r="BN106" i="33"/>
  <c r="BO106" i="33"/>
  <c r="BP106" i="33"/>
  <c r="BQ106" i="33"/>
  <c r="BR106" i="33"/>
  <c r="BS106" i="33"/>
  <c r="BT106" i="33"/>
  <c r="BU106" i="33"/>
  <c r="M108" i="33"/>
  <c r="N108" i="33"/>
  <c r="O108" i="33"/>
  <c r="P108" i="33"/>
  <c r="Q108" i="33"/>
  <c r="R108" i="33"/>
  <c r="S108" i="33"/>
  <c r="T108" i="33"/>
  <c r="U108" i="33"/>
  <c r="V108" i="33"/>
  <c r="W108" i="33"/>
  <c r="X108" i="33"/>
  <c r="Y108" i="33"/>
  <c r="Z108" i="33"/>
  <c r="AA108" i="33"/>
  <c r="AB108" i="33"/>
  <c r="AC108" i="33"/>
  <c r="AD108" i="33"/>
  <c r="AE108" i="33"/>
  <c r="AF108" i="33"/>
  <c r="AG108" i="33"/>
  <c r="AH108" i="33"/>
  <c r="AI108" i="33"/>
  <c r="AJ108" i="33"/>
  <c r="AK108" i="33"/>
  <c r="AL108" i="33"/>
  <c r="AM108" i="33"/>
  <c r="AN108" i="33"/>
  <c r="AO108" i="33"/>
  <c r="AP108" i="33"/>
  <c r="AQ108" i="33"/>
  <c r="AR108" i="33"/>
  <c r="AS108" i="33"/>
  <c r="AT108" i="33"/>
  <c r="AU108" i="33"/>
  <c r="AV108" i="33"/>
  <c r="AW108" i="33"/>
  <c r="AX108" i="33"/>
  <c r="AY108" i="33"/>
  <c r="AZ108" i="33"/>
  <c r="BA108" i="33"/>
  <c r="BB108" i="33"/>
  <c r="BC108" i="33"/>
  <c r="BD108" i="33"/>
  <c r="BE108" i="33"/>
  <c r="BF108" i="33"/>
  <c r="BG108" i="33"/>
  <c r="BH108" i="33"/>
  <c r="BI108" i="33"/>
  <c r="BJ108" i="33"/>
  <c r="BK108" i="33"/>
  <c r="BL108" i="33"/>
  <c r="BM108" i="33"/>
  <c r="BN108" i="33"/>
  <c r="BO108" i="33"/>
  <c r="BP108" i="33"/>
  <c r="BQ108" i="33"/>
  <c r="BR108" i="33"/>
  <c r="BS108" i="33"/>
  <c r="BT108" i="33"/>
  <c r="BU108" i="33"/>
  <c r="M109" i="33"/>
  <c r="N109" i="33"/>
  <c r="O109" i="33"/>
  <c r="P109" i="33"/>
  <c r="Q109" i="33"/>
  <c r="R109" i="33"/>
  <c r="S109" i="33"/>
  <c r="T109" i="33"/>
  <c r="U109" i="33"/>
  <c r="V109" i="33"/>
  <c r="W109" i="33"/>
  <c r="X109" i="33"/>
  <c r="Y109" i="33"/>
  <c r="Z109" i="33"/>
  <c r="AA109" i="33"/>
  <c r="AB109" i="33"/>
  <c r="AC109" i="33"/>
  <c r="AD109" i="33"/>
  <c r="AE109" i="33"/>
  <c r="AF109" i="33"/>
  <c r="AG109" i="33"/>
  <c r="AH109" i="33"/>
  <c r="AI109" i="33"/>
  <c r="AJ109" i="33"/>
  <c r="AK109" i="33"/>
  <c r="AL109" i="33"/>
  <c r="AM109" i="33"/>
  <c r="AN109" i="33"/>
  <c r="AO109" i="33"/>
  <c r="AP109" i="33"/>
  <c r="AQ109" i="33"/>
  <c r="AR109" i="33"/>
  <c r="AS109" i="33"/>
  <c r="AT109" i="33"/>
  <c r="AU109" i="33"/>
  <c r="AV109" i="33"/>
  <c r="AW109" i="33"/>
  <c r="AX109" i="33"/>
  <c r="AY109" i="33"/>
  <c r="AZ109" i="33"/>
  <c r="BA109" i="33"/>
  <c r="BB109" i="33"/>
  <c r="BC109" i="33"/>
  <c r="BD109" i="33"/>
  <c r="BE109" i="33"/>
  <c r="BF109" i="33"/>
  <c r="BG109" i="33"/>
  <c r="BH109" i="33"/>
  <c r="BI109" i="33"/>
  <c r="BJ109" i="33"/>
  <c r="BK109" i="33"/>
  <c r="BL109" i="33"/>
  <c r="BM109" i="33"/>
  <c r="BN109" i="33"/>
  <c r="BO109" i="33"/>
  <c r="BP109" i="33"/>
  <c r="BQ109" i="33"/>
  <c r="BR109" i="33"/>
  <c r="BS109" i="33"/>
  <c r="BT109" i="33"/>
  <c r="BU109" i="33"/>
  <c r="M110" i="33"/>
  <c r="N110" i="33"/>
  <c r="O110" i="33"/>
  <c r="P110" i="33"/>
  <c r="Q110" i="33"/>
  <c r="R110" i="33"/>
  <c r="S110" i="33"/>
  <c r="T110" i="33"/>
  <c r="U110" i="33"/>
  <c r="V110" i="33"/>
  <c r="W110" i="33"/>
  <c r="X110" i="33"/>
  <c r="Y110" i="33"/>
  <c r="Z110" i="33"/>
  <c r="AA110" i="33"/>
  <c r="AB110" i="33"/>
  <c r="AC110" i="33"/>
  <c r="AD110" i="33"/>
  <c r="AE110" i="33"/>
  <c r="AF110" i="33"/>
  <c r="AG110" i="33"/>
  <c r="AH110" i="33"/>
  <c r="AI110" i="33"/>
  <c r="AJ110" i="33"/>
  <c r="AK110" i="33"/>
  <c r="AL110" i="33"/>
  <c r="AM110" i="33"/>
  <c r="AN110" i="33"/>
  <c r="AO110" i="33"/>
  <c r="AP110" i="33"/>
  <c r="AQ110" i="33"/>
  <c r="AR110" i="33"/>
  <c r="AS110" i="33"/>
  <c r="AT110" i="33"/>
  <c r="AU110" i="33"/>
  <c r="AV110" i="33"/>
  <c r="AW110" i="33"/>
  <c r="AX110" i="33"/>
  <c r="AY110" i="33"/>
  <c r="AZ110" i="33"/>
  <c r="BA110" i="33"/>
  <c r="BB110" i="33"/>
  <c r="BC110" i="33"/>
  <c r="BD110" i="33"/>
  <c r="BE110" i="33"/>
  <c r="BF110" i="33"/>
  <c r="BG110" i="33"/>
  <c r="BH110" i="33"/>
  <c r="BI110" i="33"/>
  <c r="BJ110" i="33"/>
  <c r="BK110" i="33"/>
  <c r="BL110" i="33"/>
  <c r="BM110" i="33"/>
  <c r="BN110" i="33"/>
  <c r="BO110" i="33"/>
  <c r="BP110" i="33"/>
  <c r="BQ110" i="33"/>
  <c r="BR110" i="33"/>
  <c r="BS110" i="33"/>
  <c r="BT110" i="33"/>
  <c r="BU110" i="33"/>
  <c r="N113" i="33"/>
  <c r="O113" i="33"/>
  <c r="P113" i="33"/>
  <c r="Q113" i="33"/>
  <c r="R113" i="33"/>
  <c r="S113" i="33"/>
  <c r="T113" i="33"/>
  <c r="U113" i="33"/>
  <c r="V113" i="33"/>
  <c r="W113" i="33"/>
  <c r="X113" i="33"/>
  <c r="Y113" i="33"/>
  <c r="Z113" i="33"/>
  <c r="AA113" i="33"/>
  <c r="AB113" i="33"/>
  <c r="AC113" i="33"/>
  <c r="AD113" i="33"/>
  <c r="AE113" i="33"/>
  <c r="AF113" i="33"/>
  <c r="AG113" i="33"/>
  <c r="AH113" i="33"/>
  <c r="AI113" i="33"/>
  <c r="AJ113" i="33"/>
  <c r="AK113" i="33"/>
  <c r="AL113" i="33"/>
  <c r="AM113" i="33"/>
  <c r="AN113" i="33"/>
  <c r="AO113" i="33"/>
  <c r="AP113" i="33"/>
  <c r="AQ113" i="33"/>
  <c r="AR113" i="33"/>
  <c r="AS113" i="33"/>
  <c r="AT113" i="33"/>
  <c r="AU113" i="33"/>
  <c r="AV113" i="33"/>
  <c r="AW113" i="33"/>
  <c r="AX113" i="33"/>
  <c r="AY113" i="33"/>
  <c r="AZ113" i="33"/>
  <c r="BA113" i="33"/>
  <c r="BB113" i="33"/>
  <c r="BC113" i="33"/>
  <c r="BD113" i="33"/>
  <c r="BE113" i="33"/>
  <c r="BF113" i="33"/>
  <c r="BG113" i="33"/>
  <c r="BH113" i="33"/>
  <c r="BI113" i="33"/>
  <c r="BJ113" i="33"/>
  <c r="BK113" i="33"/>
  <c r="BL113" i="33"/>
  <c r="BM113" i="33"/>
  <c r="BN113" i="33"/>
  <c r="BO113" i="33"/>
  <c r="BP113" i="33"/>
  <c r="BQ113" i="33"/>
  <c r="BR113" i="33"/>
  <c r="BS113" i="33"/>
  <c r="BT113" i="33"/>
  <c r="BU113" i="33"/>
  <c r="M114" i="33"/>
  <c r="N114" i="33"/>
  <c r="O114" i="33"/>
  <c r="P114" i="33"/>
  <c r="Q114" i="33"/>
  <c r="R114" i="33"/>
  <c r="S114" i="33"/>
  <c r="T114" i="33"/>
  <c r="U114" i="33"/>
  <c r="V114" i="33"/>
  <c r="W114" i="33"/>
  <c r="X114" i="33"/>
  <c r="Y114" i="33"/>
  <c r="Z114" i="33"/>
  <c r="AA114" i="33"/>
  <c r="AB114" i="33"/>
  <c r="AC114" i="33"/>
  <c r="AD114" i="33"/>
  <c r="AE114" i="33"/>
  <c r="AF114" i="33"/>
  <c r="AG114" i="33"/>
  <c r="AH114" i="33"/>
  <c r="AI114" i="33"/>
  <c r="AJ114" i="33"/>
  <c r="AK114" i="33"/>
  <c r="AL114" i="33"/>
  <c r="AM114" i="33"/>
  <c r="AN114" i="33"/>
  <c r="AO114" i="33"/>
  <c r="AP114" i="33"/>
  <c r="AQ114" i="33"/>
  <c r="AR114" i="33"/>
  <c r="AS114" i="33"/>
  <c r="AT114" i="33"/>
  <c r="AU114" i="33"/>
  <c r="AV114" i="33"/>
  <c r="AW114" i="33"/>
  <c r="AX114" i="33"/>
  <c r="AY114" i="33"/>
  <c r="AZ114" i="33"/>
  <c r="BA114" i="33"/>
  <c r="BB114" i="33"/>
  <c r="BC114" i="33"/>
  <c r="BD114" i="33"/>
  <c r="BE114" i="33"/>
  <c r="BF114" i="33"/>
  <c r="BG114" i="33"/>
  <c r="BH114" i="33"/>
  <c r="BI114" i="33"/>
  <c r="BJ114" i="33"/>
  <c r="BK114" i="33"/>
  <c r="BL114" i="33"/>
  <c r="BM114" i="33"/>
  <c r="BN114" i="33"/>
  <c r="BO114" i="33"/>
  <c r="BP114" i="33"/>
  <c r="BQ114" i="33"/>
  <c r="BR114" i="33"/>
  <c r="BS114" i="33"/>
  <c r="BT114" i="33"/>
  <c r="BU114" i="33"/>
  <c r="N115" i="33"/>
  <c r="O115" i="33"/>
  <c r="P115" i="33"/>
  <c r="Q115" i="33"/>
  <c r="R115" i="33"/>
  <c r="S115" i="33"/>
  <c r="T115" i="33"/>
  <c r="U115" i="33"/>
  <c r="V115" i="33"/>
  <c r="W115" i="33"/>
  <c r="X115" i="33"/>
  <c r="Y115" i="33"/>
  <c r="Z115" i="33"/>
  <c r="AA115" i="33"/>
  <c r="AB115" i="33"/>
  <c r="AC115" i="33"/>
  <c r="AD115" i="33"/>
  <c r="AE115" i="33"/>
  <c r="AF115" i="33"/>
  <c r="AG115" i="33"/>
  <c r="AH115" i="33"/>
  <c r="AI115" i="33"/>
  <c r="AJ115" i="33"/>
  <c r="AK115" i="33"/>
  <c r="AL115" i="33"/>
  <c r="AM115" i="33"/>
  <c r="AN115" i="33"/>
  <c r="AO115" i="33"/>
  <c r="AP115" i="33"/>
  <c r="AQ115" i="33"/>
  <c r="AR115" i="33"/>
  <c r="AS115" i="33"/>
  <c r="AT115" i="33"/>
  <c r="AU115" i="33"/>
  <c r="AV115" i="33"/>
  <c r="AW115" i="33"/>
  <c r="AX115" i="33"/>
  <c r="AY115" i="33"/>
  <c r="AZ115" i="33"/>
  <c r="BA115" i="33"/>
  <c r="BB115" i="33"/>
  <c r="BC115" i="33"/>
  <c r="BD115" i="33"/>
  <c r="BE115" i="33"/>
  <c r="BF115" i="33"/>
  <c r="BG115" i="33"/>
  <c r="BH115" i="33"/>
  <c r="BI115" i="33"/>
  <c r="BJ115" i="33"/>
  <c r="BK115" i="33"/>
  <c r="BL115" i="33"/>
  <c r="BM115" i="33"/>
  <c r="BN115" i="33"/>
  <c r="BO115" i="33"/>
  <c r="BP115" i="33"/>
  <c r="BQ115" i="33"/>
  <c r="BR115" i="33"/>
  <c r="BS115" i="33"/>
  <c r="BT115" i="33"/>
  <c r="BU115" i="33"/>
  <c r="M116" i="33"/>
  <c r="N116" i="33"/>
  <c r="O116" i="33"/>
  <c r="P116" i="33"/>
  <c r="Q116" i="33"/>
  <c r="R116" i="33"/>
  <c r="S116" i="33"/>
  <c r="T116" i="33"/>
  <c r="U116" i="33"/>
  <c r="V116" i="33"/>
  <c r="W116" i="33"/>
  <c r="X116" i="33"/>
  <c r="Y116" i="33"/>
  <c r="Z116" i="33"/>
  <c r="AA116" i="33"/>
  <c r="AB116" i="33"/>
  <c r="AC116" i="33"/>
  <c r="AD116" i="33"/>
  <c r="AE116" i="33"/>
  <c r="AF116" i="33"/>
  <c r="AG116" i="33"/>
  <c r="AH116" i="33"/>
  <c r="AI116" i="33"/>
  <c r="AJ116" i="33"/>
  <c r="AK116" i="33"/>
  <c r="AL116" i="33"/>
  <c r="AM116" i="33"/>
  <c r="AN116" i="33"/>
  <c r="AO116" i="33"/>
  <c r="AP116" i="33"/>
  <c r="AQ116" i="33"/>
  <c r="AR116" i="33"/>
  <c r="AS116" i="33"/>
  <c r="AT116" i="33"/>
  <c r="AU116" i="33"/>
  <c r="AV116" i="33"/>
  <c r="AW116" i="33"/>
  <c r="AX116" i="33"/>
  <c r="AY116" i="33"/>
  <c r="AZ116" i="33"/>
  <c r="BA116" i="33"/>
  <c r="BB116" i="33"/>
  <c r="BC116" i="33"/>
  <c r="BD116" i="33"/>
  <c r="BE116" i="33"/>
  <c r="BF116" i="33"/>
  <c r="BG116" i="33"/>
  <c r="BH116" i="33"/>
  <c r="BI116" i="33"/>
  <c r="BJ116" i="33"/>
  <c r="BK116" i="33"/>
  <c r="BL116" i="33"/>
  <c r="BM116" i="33"/>
  <c r="BN116" i="33"/>
  <c r="BO116" i="33"/>
  <c r="BP116" i="33"/>
  <c r="BQ116" i="33"/>
  <c r="BR116" i="33"/>
  <c r="BS116" i="33"/>
  <c r="BT116" i="33"/>
  <c r="BU116" i="33"/>
  <c r="M117" i="33"/>
  <c r="N117" i="33"/>
  <c r="O117" i="33"/>
  <c r="P117" i="33"/>
  <c r="Q117" i="33"/>
  <c r="R117" i="33"/>
  <c r="S117" i="33"/>
  <c r="T117" i="33"/>
  <c r="U117" i="33"/>
  <c r="V117" i="33"/>
  <c r="W117" i="33"/>
  <c r="X117" i="33"/>
  <c r="Y117" i="33"/>
  <c r="Z117" i="33"/>
  <c r="AA117" i="33"/>
  <c r="AB117" i="33"/>
  <c r="AC117" i="33"/>
  <c r="AD117" i="33"/>
  <c r="AE117" i="33"/>
  <c r="AF117" i="33"/>
  <c r="AG117" i="33"/>
  <c r="AH117" i="33"/>
  <c r="AI117" i="33"/>
  <c r="AJ117" i="33"/>
  <c r="AK117" i="33"/>
  <c r="AL117" i="33"/>
  <c r="AM117" i="33"/>
  <c r="AN117" i="33"/>
  <c r="AO117" i="33"/>
  <c r="AP117" i="33"/>
  <c r="AQ117" i="33"/>
  <c r="AR117" i="33"/>
  <c r="AS117" i="33"/>
  <c r="AT117" i="33"/>
  <c r="AU117" i="33"/>
  <c r="AV117" i="33"/>
  <c r="AW117" i="33"/>
  <c r="AX117" i="33"/>
  <c r="AY117" i="33"/>
  <c r="AZ117" i="33"/>
  <c r="BA117" i="33"/>
  <c r="BB117" i="33"/>
  <c r="BC117" i="33"/>
  <c r="BD117" i="33"/>
  <c r="BE117" i="33"/>
  <c r="BF117" i="33"/>
  <c r="BG117" i="33"/>
  <c r="BH117" i="33"/>
  <c r="BI117" i="33"/>
  <c r="BJ117" i="33"/>
  <c r="BK117" i="33"/>
  <c r="BL117" i="33"/>
  <c r="BM117" i="33"/>
  <c r="BN117" i="33"/>
  <c r="BO117" i="33"/>
  <c r="BP117" i="33"/>
  <c r="BQ117" i="33"/>
  <c r="BR117" i="33"/>
  <c r="BS117" i="33"/>
  <c r="BT117" i="33"/>
  <c r="BU117" i="33"/>
  <c r="L118" i="33"/>
  <c r="M118" i="33"/>
  <c r="N118" i="33"/>
  <c r="O118" i="33"/>
  <c r="P118" i="33"/>
  <c r="Q118" i="33"/>
  <c r="R118" i="33"/>
  <c r="S118" i="33"/>
  <c r="T118" i="33"/>
  <c r="U118" i="33"/>
  <c r="V118" i="33"/>
  <c r="W118" i="33"/>
  <c r="X118" i="33"/>
  <c r="Y118" i="33"/>
  <c r="Z118" i="33"/>
  <c r="AA118" i="33"/>
  <c r="AB118" i="33"/>
  <c r="AC118" i="33"/>
  <c r="AD118" i="33"/>
  <c r="AE118" i="33"/>
  <c r="AF118" i="33"/>
  <c r="AG118" i="33"/>
  <c r="AH118" i="33"/>
  <c r="AI118" i="33"/>
  <c r="AJ118" i="33"/>
  <c r="AK118" i="33"/>
  <c r="AL118" i="33"/>
  <c r="AM118" i="33"/>
  <c r="AN118" i="33"/>
  <c r="AO118" i="33"/>
  <c r="AP118" i="33"/>
  <c r="AQ118" i="33"/>
  <c r="AR118" i="33"/>
  <c r="AS118" i="33"/>
  <c r="AT118" i="33"/>
  <c r="AU118" i="33"/>
  <c r="AV118" i="33"/>
  <c r="AW118" i="33"/>
  <c r="AX118" i="33"/>
  <c r="AY118" i="33"/>
  <c r="AZ118" i="33"/>
  <c r="BA118" i="33"/>
  <c r="BB118" i="33"/>
  <c r="BC118" i="33"/>
  <c r="BD118" i="33"/>
  <c r="BE118" i="33"/>
  <c r="BF118" i="33"/>
  <c r="BG118" i="33"/>
  <c r="BH118" i="33"/>
  <c r="BI118" i="33"/>
  <c r="BJ118" i="33"/>
  <c r="BK118" i="33"/>
  <c r="BL118" i="33"/>
  <c r="BM118" i="33"/>
  <c r="BN118" i="33"/>
  <c r="BO118" i="33"/>
  <c r="BP118" i="33"/>
  <c r="BQ118" i="33"/>
  <c r="BR118" i="33"/>
  <c r="BS118" i="33"/>
  <c r="BT118" i="33"/>
  <c r="BU118" i="33"/>
  <c r="M120" i="33"/>
  <c r="N120" i="33"/>
  <c r="O120" i="33"/>
  <c r="P120" i="33"/>
  <c r="Q120" i="33"/>
  <c r="R120" i="33"/>
  <c r="S120" i="33"/>
  <c r="T120" i="33"/>
  <c r="U120" i="33"/>
  <c r="V120" i="33"/>
  <c r="W120" i="33"/>
  <c r="X120" i="33"/>
  <c r="Y120" i="33"/>
  <c r="Z120" i="33"/>
  <c r="AA120" i="33"/>
  <c r="AB120" i="33"/>
  <c r="AC120" i="33"/>
  <c r="AD120" i="33"/>
  <c r="AE120" i="33"/>
  <c r="AF120" i="33"/>
  <c r="AG120" i="33"/>
  <c r="AH120" i="33"/>
  <c r="AI120" i="33"/>
  <c r="AJ120" i="33"/>
  <c r="AK120" i="33"/>
  <c r="AL120" i="33"/>
  <c r="AM120" i="33"/>
  <c r="AN120" i="33"/>
  <c r="AO120" i="33"/>
  <c r="AP120" i="33"/>
  <c r="AQ120" i="33"/>
  <c r="AR120" i="33"/>
  <c r="AS120" i="33"/>
  <c r="AT120" i="33"/>
  <c r="AU120" i="33"/>
  <c r="AV120" i="33"/>
  <c r="AW120" i="33"/>
  <c r="AX120" i="33"/>
  <c r="AY120" i="33"/>
  <c r="AZ120" i="33"/>
  <c r="BA120" i="33"/>
  <c r="BB120" i="33"/>
  <c r="BC120" i="33"/>
  <c r="BD120" i="33"/>
  <c r="BE120" i="33"/>
  <c r="BF120" i="33"/>
  <c r="BG120" i="33"/>
  <c r="BH120" i="33"/>
  <c r="BI120" i="33"/>
  <c r="BJ120" i="33"/>
  <c r="BK120" i="33"/>
  <c r="BL120" i="33"/>
  <c r="BM120" i="33"/>
  <c r="BN120" i="33"/>
  <c r="BO120" i="33"/>
  <c r="BP120" i="33"/>
  <c r="BQ120" i="33"/>
  <c r="BR120" i="33"/>
  <c r="BS120" i="33"/>
  <c r="BT120" i="33"/>
  <c r="BU120" i="33"/>
  <c r="M121" i="33"/>
  <c r="N121" i="33"/>
  <c r="O121" i="33"/>
  <c r="P121" i="33"/>
  <c r="Q121" i="33"/>
  <c r="R121" i="33"/>
  <c r="S121" i="33"/>
  <c r="T121" i="33"/>
  <c r="U121" i="33"/>
  <c r="V121" i="33"/>
  <c r="W121" i="33"/>
  <c r="X121" i="33"/>
  <c r="Y121" i="33"/>
  <c r="Z121" i="33"/>
  <c r="AA121" i="33"/>
  <c r="AB121" i="33"/>
  <c r="AC121" i="33"/>
  <c r="AD121" i="33"/>
  <c r="AE121" i="33"/>
  <c r="AF121" i="33"/>
  <c r="AG121" i="33"/>
  <c r="AH121" i="33"/>
  <c r="AI121" i="33"/>
  <c r="AJ121" i="33"/>
  <c r="AK121" i="33"/>
  <c r="AL121" i="33"/>
  <c r="AM121" i="33"/>
  <c r="AN121" i="33"/>
  <c r="AO121" i="33"/>
  <c r="AP121" i="33"/>
  <c r="AQ121" i="33"/>
  <c r="AR121" i="33"/>
  <c r="AS121" i="33"/>
  <c r="AT121" i="33"/>
  <c r="AU121" i="33"/>
  <c r="AV121" i="33"/>
  <c r="AW121" i="33"/>
  <c r="AX121" i="33"/>
  <c r="AY121" i="33"/>
  <c r="AZ121" i="33"/>
  <c r="BA121" i="33"/>
  <c r="BB121" i="33"/>
  <c r="BC121" i="33"/>
  <c r="BD121" i="33"/>
  <c r="BE121" i="33"/>
  <c r="BF121" i="33"/>
  <c r="BG121" i="33"/>
  <c r="BH121" i="33"/>
  <c r="BI121" i="33"/>
  <c r="BJ121" i="33"/>
  <c r="BK121" i="33"/>
  <c r="BL121" i="33"/>
  <c r="BM121" i="33"/>
  <c r="BN121" i="33"/>
  <c r="BO121" i="33"/>
  <c r="BP121" i="33"/>
  <c r="BQ121" i="33"/>
  <c r="BR121" i="33"/>
  <c r="BS121" i="33"/>
  <c r="BT121" i="33"/>
  <c r="BU121" i="33"/>
  <c r="L122" i="33"/>
  <c r="M122" i="33"/>
  <c r="N122" i="33"/>
  <c r="O122" i="33"/>
  <c r="P122" i="33"/>
  <c r="Q122" i="33"/>
  <c r="R122" i="33"/>
  <c r="S122" i="33"/>
  <c r="T122" i="33"/>
  <c r="U122" i="33"/>
  <c r="V122" i="33"/>
  <c r="W122" i="33"/>
  <c r="X122" i="33"/>
  <c r="Y122" i="33"/>
  <c r="Z122" i="33"/>
  <c r="AA122" i="33"/>
  <c r="AB122" i="33"/>
  <c r="AC122" i="33"/>
  <c r="AD122" i="33"/>
  <c r="AE122" i="33"/>
  <c r="AF122" i="33"/>
  <c r="AG122" i="33"/>
  <c r="AH122" i="33"/>
  <c r="AI122" i="33"/>
  <c r="AJ122" i="33"/>
  <c r="AK122" i="33"/>
  <c r="AL122" i="33"/>
  <c r="AM122" i="33"/>
  <c r="AN122" i="33"/>
  <c r="AO122" i="33"/>
  <c r="AP122" i="33"/>
  <c r="AQ122" i="33"/>
  <c r="AR122" i="33"/>
  <c r="AS122" i="33"/>
  <c r="AT122" i="33"/>
  <c r="AU122" i="33"/>
  <c r="AV122" i="33"/>
  <c r="AW122" i="33"/>
  <c r="AX122" i="33"/>
  <c r="AY122" i="33"/>
  <c r="AZ122" i="33"/>
  <c r="BA122" i="33"/>
  <c r="BB122" i="33"/>
  <c r="BC122" i="33"/>
  <c r="BD122" i="33"/>
  <c r="BE122" i="33"/>
  <c r="BF122" i="33"/>
  <c r="BG122" i="33"/>
  <c r="BH122" i="33"/>
  <c r="BI122" i="33"/>
  <c r="BJ122" i="33"/>
  <c r="BK122" i="33"/>
  <c r="BL122" i="33"/>
  <c r="BM122" i="33"/>
  <c r="BN122" i="33"/>
  <c r="BO122" i="33"/>
  <c r="BP122" i="33"/>
  <c r="BQ122" i="33"/>
  <c r="BR122" i="33"/>
  <c r="BS122" i="33"/>
  <c r="BT122" i="33"/>
  <c r="BU122" i="33"/>
  <c r="M124" i="33"/>
  <c r="N124" i="33"/>
  <c r="O124" i="33"/>
  <c r="P124" i="33"/>
  <c r="Q124" i="33"/>
  <c r="R124" i="33"/>
  <c r="S124" i="33"/>
  <c r="T124" i="33"/>
  <c r="U124" i="33"/>
  <c r="V124" i="33"/>
  <c r="W124" i="33"/>
  <c r="X124" i="33"/>
  <c r="Y124" i="33"/>
  <c r="Z124" i="33"/>
  <c r="AA124" i="33"/>
  <c r="AB124" i="33"/>
  <c r="AC124" i="33"/>
  <c r="AD124" i="33"/>
  <c r="AE124" i="33"/>
  <c r="AF124" i="33"/>
  <c r="AG124" i="33"/>
  <c r="AH124" i="33"/>
  <c r="AI124" i="33"/>
  <c r="AJ124" i="33"/>
  <c r="AK124" i="33"/>
  <c r="AL124" i="33"/>
  <c r="AM124" i="33"/>
  <c r="AN124" i="33"/>
  <c r="AO124" i="33"/>
  <c r="AP124" i="33"/>
  <c r="AQ124" i="33"/>
  <c r="AR124" i="33"/>
  <c r="AS124" i="33"/>
  <c r="AT124" i="33"/>
  <c r="AU124" i="33"/>
  <c r="AV124" i="33"/>
  <c r="AW124" i="33"/>
  <c r="AX124" i="33"/>
  <c r="AY124" i="33"/>
  <c r="AZ124" i="33"/>
  <c r="BA124" i="33"/>
  <c r="BB124" i="33"/>
  <c r="BC124" i="33"/>
  <c r="BD124" i="33"/>
  <c r="BE124" i="33"/>
  <c r="BF124" i="33"/>
  <c r="BG124" i="33"/>
  <c r="BH124" i="33"/>
  <c r="BI124" i="33"/>
  <c r="BJ124" i="33"/>
  <c r="BK124" i="33"/>
  <c r="BL124" i="33"/>
  <c r="BM124" i="33"/>
  <c r="BN124" i="33"/>
  <c r="BO124" i="33"/>
  <c r="BP124" i="33"/>
  <c r="BQ124" i="33"/>
  <c r="BR124" i="33"/>
  <c r="BS124" i="33"/>
  <c r="BT124" i="33"/>
  <c r="BU124" i="33"/>
  <c r="M127" i="33"/>
  <c r="N127" i="33"/>
  <c r="O127" i="33"/>
  <c r="P127" i="33"/>
  <c r="Q127" i="33"/>
  <c r="R127" i="33"/>
  <c r="S127" i="33"/>
  <c r="T127" i="33"/>
  <c r="U127" i="33"/>
  <c r="V127" i="33"/>
  <c r="W127" i="33"/>
  <c r="X127" i="33"/>
  <c r="Y127" i="33"/>
  <c r="Z127" i="33"/>
  <c r="AA127" i="33"/>
  <c r="AB127" i="33"/>
  <c r="AC127" i="33"/>
  <c r="AD127" i="33"/>
  <c r="AE127" i="33"/>
  <c r="AF127" i="33"/>
  <c r="AG127" i="33"/>
  <c r="AH127" i="33"/>
  <c r="AI127" i="33"/>
  <c r="AJ127" i="33"/>
  <c r="AK127" i="33"/>
  <c r="AL127" i="33"/>
  <c r="AM127" i="33"/>
  <c r="AN127" i="33"/>
  <c r="AO127" i="33"/>
  <c r="AP127" i="33"/>
  <c r="AQ127" i="33"/>
  <c r="AR127" i="33"/>
  <c r="AS127" i="33"/>
  <c r="AT127" i="33"/>
  <c r="AU127" i="33"/>
  <c r="AV127" i="33"/>
  <c r="AW127" i="33"/>
  <c r="M128" i="33"/>
  <c r="N128" i="33"/>
  <c r="O128" i="33"/>
  <c r="P128" i="33"/>
  <c r="Q128" i="33"/>
  <c r="R128" i="33"/>
  <c r="S128" i="33"/>
  <c r="T128" i="33"/>
  <c r="U128" i="33"/>
  <c r="V128" i="33"/>
  <c r="W128" i="33"/>
  <c r="X128" i="33"/>
  <c r="Y128" i="33"/>
  <c r="Z128" i="33"/>
  <c r="AA128" i="33"/>
  <c r="AB128" i="33"/>
  <c r="AC128" i="33"/>
  <c r="AD128" i="33"/>
  <c r="AE128" i="33"/>
  <c r="AF128" i="33"/>
  <c r="AG128" i="33"/>
  <c r="AH128" i="33"/>
  <c r="AI128" i="33"/>
  <c r="AJ128" i="33"/>
  <c r="AK128" i="33"/>
  <c r="AL128" i="33"/>
  <c r="AM128" i="33"/>
  <c r="AN128" i="33"/>
  <c r="AO128" i="33"/>
  <c r="AP128" i="33"/>
  <c r="AQ128" i="33"/>
  <c r="AR128" i="33"/>
  <c r="AS128" i="33"/>
  <c r="AT128" i="33"/>
  <c r="AU128" i="33"/>
  <c r="AV128" i="33"/>
  <c r="AW128" i="33"/>
  <c r="M129" i="33"/>
  <c r="N129" i="33"/>
  <c r="O129" i="33"/>
  <c r="P129" i="33"/>
  <c r="Q129" i="33"/>
  <c r="R129" i="33"/>
  <c r="S129" i="33"/>
  <c r="T129" i="33"/>
  <c r="U129" i="33"/>
  <c r="V129" i="33"/>
  <c r="W129" i="33"/>
  <c r="X129" i="33"/>
  <c r="Y129" i="33"/>
  <c r="Z129" i="33"/>
  <c r="AA129" i="33"/>
  <c r="AB129" i="33"/>
  <c r="AC129" i="33"/>
  <c r="AD129" i="33"/>
  <c r="AE129" i="33"/>
  <c r="AF129" i="33"/>
  <c r="AG129" i="33"/>
  <c r="AH129" i="33"/>
  <c r="AI129" i="33"/>
  <c r="AJ129" i="33"/>
  <c r="AK129" i="33"/>
  <c r="AL129" i="33"/>
  <c r="AM129" i="33"/>
  <c r="AN129" i="33"/>
  <c r="AO129" i="33"/>
  <c r="AP129" i="33"/>
  <c r="AQ129" i="33"/>
  <c r="AR129" i="33"/>
  <c r="AS129" i="33"/>
  <c r="AT129" i="33"/>
  <c r="AU129" i="33"/>
  <c r="AV129" i="33"/>
  <c r="AW129" i="33"/>
  <c r="AX129" i="33"/>
  <c r="AY129" i="33"/>
  <c r="AZ129" i="33"/>
  <c r="BA129" i="33"/>
  <c r="BB129" i="33"/>
  <c r="BC129" i="33"/>
  <c r="BD129" i="33"/>
  <c r="BE129" i="33"/>
  <c r="BF129" i="33"/>
  <c r="BG129" i="33"/>
  <c r="BH129" i="33"/>
  <c r="BI129" i="33"/>
  <c r="BJ129" i="33"/>
  <c r="BK129" i="33"/>
  <c r="BL129" i="33"/>
  <c r="BM129" i="33"/>
  <c r="BN129" i="33"/>
  <c r="BO129" i="33"/>
  <c r="BP129" i="33"/>
  <c r="BQ129" i="33"/>
  <c r="BR129" i="33"/>
  <c r="BS129" i="33"/>
  <c r="BT129" i="33"/>
  <c r="BU129" i="33"/>
  <c r="L130" i="33"/>
  <c r="M130" i="33"/>
  <c r="N130" i="33"/>
  <c r="O130" i="33"/>
  <c r="P130" i="33"/>
  <c r="Q130" i="33"/>
  <c r="R130" i="33"/>
  <c r="S130" i="33"/>
  <c r="T130" i="33"/>
  <c r="U130" i="33"/>
  <c r="V130" i="33"/>
  <c r="W130" i="33"/>
  <c r="X130" i="33"/>
  <c r="Y130" i="33"/>
  <c r="Z130" i="33"/>
  <c r="AA130" i="33"/>
  <c r="AB130" i="33"/>
  <c r="AC130" i="33"/>
  <c r="AD130" i="33"/>
  <c r="AE130" i="33"/>
  <c r="AF130" i="33"/>
  <c r="AG130" i="33"/>
  <c r="AH130" i="33"/>
  <c r="AI130" i="33"/>
  <c r="AJ130" i="33"/>
  <c r="AK130" i="33"/>
  <c r="AL130" i="33"/>
  <c r="AM130" i="33"/>
  <c r="AN130" i="33"/>
  <c r="AO130" i="33"/>
  <c r="AP130" i="33"/>
  <c r="AQ130" i="33"/>
  <c r="AR130" i="33"/>
  <c r="AS130" i="33"/>
  <c r="AT130" i="33"/>
  <c r="AU130" i="33"/>
  <c r="AV130" i="33"/>
  <c r="AW130" i="33"/>
  <c r="AX130" i="33"/>
  <c r="AY130" i="33"/>
  <c r="AZ130" i="33"/>
  <c r="BA130" i="33"/>
  <c r="BB130" i="33"/>
  <c r="BC130" i="33"/>
  <c r="BD130" i="33"/>
  <c r="BE130" i="33"/>
  <c r="BF130" i="33"/>
  <c r="BG130" i="33"/>
  <c r="BH130" i="33"/>
  <c r="BI130" i="33"/>
  <c r="BJ130" i="33"/>
  <c r="BK130" i="33"/>
  <c r="BL130" i="33"/>
  <c r="BM130" i="33"/>
  <c r="BN130" i="33"/>
  <c r="BO130" i="33"/>
  <c r="BP130" i="33"/>
  <c r="BQ130" i="33"/>
  <c r="BR130" i="33"/>
  <c r="BS130" i="33"/>
  <c r="BT130" i="33"/>
  <c r="BU130" i="33"/>
  <c r="M131" i="33"/>
  <c r="N131" i="33"/>
  <c r="O131" i="33"/>
  <c r="P131" i="33"/>
  <c r="Q131" i="33"/>
  <c r="R131" i="33"/>
  <c r="S131" i="33"/>
  <c r="T131" i="33"/>
  <c r="U131" i="33"/>
  <c r="V131" i="33"/>
  <c r="W131" i="33"/>
  <c r="X131" i="33"/>
  <c r="Y131" i="33"/>
  <c r="Z131" i="33"/>
  <c r="AA131" i="33"/>
  <c r="AB131" i="33"/>
  <c r="AC131" i="33"/>
  <c r="AD131" i="33"/>
  <c r="AE131" i="33"/>
  <c r="AF131" i="33"/>
  <c r="AG131" i="33"/>
  <c r="AH131" i="33"/>
  <c r="AI131" i="33"/>
  <c r="AJ131" i="33"/>
  <c r="AK131" i="33"/>
  <c r="AL131" i="33"/>
  <c r="AM131" i="33"/>
  <c r="AN131" i="33"/>
  <c r="AO131" i="33"/>
  <c r="AP131" i="33"/>
  <c r="AQ131" i="33"/>
  <c r="AR131" i="33"/>
  <c r="AS131" i="33"/>
  <c r="AT131" i="33"/>
  <c r="AU131" i="33"/>
  <c r="AV131" i="33"/>
  <c r="AW131" i="33"/>
  <c r="AX131" i="33"/>
  <c r="AY131" i="33"/>
  <c r="AZ131" i="33"/>
  <c r="BA131" i="33"/>
  <c r="BB131" i="33"/>
  <c r="BC131" i="33"/>
  <c r="BD131" i="33"/>
  <c r="BE131" i="33"/>
  <c r="BF131" i="33"/>
  <c r="BG131" i="33"/>
  <c r="BH131" i="33"/>
  <c r="BI131" i="33"/>
  <c r="BJ131" i="33"/>
  <c r="BK131" i="33"/>
  <c r="BL131" i="33"/>
  <c r="BM131" i="33"/>
  <c r="BN131" i="33"/>
  <c r="BO131" i="33"/>
  <c r="BP131" i="33"/>
  <c r="BQ131" i="33"/>
  <c r="BR131" i="33"/>
  <c r="BS131" i="33"/>
  <c r="BT131" i="33"/>
  <c r="BU131" i="33"/>
  <c r="M134" i="33" a="1"/>
  <c r="N134" i="33" a="1"/>
  <c r="O134" i="33" a="1"/>
  <c r="P134" i="33" a="1"/>
  <c r="Q134" i="33" a="1"/>
  <c r="R134" i="33" a="1"/>
  <c r="S134" i="33" a="1"/>
  <c r="T134" i="33" a="1"/>
  <c r="U134" i="33" a="1"/>
  <c r="V134" i="33" a="1"/>
  <c r="W134" i="33" a="1"/>
  <c r="X134" i="33" a="1"/>
  <c r="Y134" i="33" a="1"/>
  <c r="Z134" i="33" a="1"/>
  <c r="AA134" i="33" a="1"/>
  <c r="AB134" i="33" a="1"/>
  <c r="AC134" i="33" a="1"/>
  <c r="AD134" i="33" a="1"/>
  <c r="AE134" i="33" a="1"/>
  <c r="AF134" i="33" a="1"/>
  <c r="AG134" i="33" a="1"/>
  <c r="AH134" i="33" a="1"/>
  <c r="AI134" i="33" a="1"/>
  <c r="AJ134" i="33" a="1"/>
  <c r="AK134" i="33" a="1"/>
  <c r="AL134" i="33" a="1"/>
  <c r="AM134" i="33" a="1"/>
  <c r="AN134" i="33" a="1"/>
  <c r="AO134" i="33" a="1"/>
  <c r="AP134" i="33" a="1"/>
  <c r="AQ134" i="33" a="1"/>
  <c r="AR134" i="33" a="1"/>
  <c r="AS134" i="33" a="1"/>
  <c r="AT134" i="33" a="1"/>
  <c r="AU134" i="33" a="1"/>
  <c r="AV134" i="33" a="1"/>
  <c r="AW134" i="33" a="1"/>
  <c r="AX134" i="33" a="1"/>
  <c r="AY134" i="33" a="1"/>
  <c r="AZ134" i="33" a="1"/>
  <c r="BA134" i="33" a="1"/>
  <c r="BB134" i="33" a="1"/>
  <c r="BC134" i="33" a="1"/>
  <c r="BD134" i="33" a="1"/>
  <c r="BE134" i="33" a="1"/>
  <c r="BF134" i="33" a="1"/>
  <c r="BG134" i="33" a="1"/>
  <c r="BH134" i="33" a="1"/>
  <c r="BI134" i="33" a="1"/>
  <c r="BJ134" i="33" a="1"/>
  <c r="BK134" i="33" a="1"/>
  <c r="BL134" i="33" a="1"/>
  <c r="BM134" i="33" a="1"/>
  <c r="BN134" i="33" a="1"/>
  <c r="BO134" i="33" a="1"/>
  <c r="BP134" i="33" a="1"/>
  <c r="BQ134" i="33" a="1"/>
  <c r="BR134" i="33" a="1"/>
  <c r="BS134" i="33" a="1"/>
  <c r="BT134" i="33" a="1"/>
  <c r="BU134" i="33" a="1"/>
  <c r="L135" i="33" a="1"/>
  <c r="M135" i="33"/>
  <c r="N135" i="33"/>
  <c r="O135" i="33"/>
  <c r="P135" i="33"/>
  <c r="Q135" i="33"/>
  <c r="R135" i="33"/>
  <c r="S135" i="33"/>
  <c r="T135" i="33"/>
  <c r="U135" i="33"/>
  <c r="V135" i="33"/>
  <c r="W135" i="33"/>
  <c r="X135" i="33"/>
  <c r="Y135" i="33"/>
  <c r="Z135" i="33"/>
  <c r="AA135" i="33"/>
  <c r="AB135" i="33"/>
  <c r="AC135" i="33"/>
  <c r="AD135" i="33"/>
  <c r="AE135" i="33"/>
  <c r="AF135" i="33"/>
  <c r="AG135" i="33"/>
  <c r="AH135" i="33"/>
  <c r="AI135" i="33"/>
  <c r="AJ135" i="33"/>
  <c r="AK135" i="33"/>
  <c r="AL135" i="33"/>
  <c r="AM135" i="33"/>
  <c r="AN135" i="33"/>
  <c r="AO135" i="33"/>
  <c r="AP135" i="33"/>
  <c r="AQ135" i="33"/>
  <c r="AR135" i="33"/>
  <c r="AS135" i="33"/>
  <c r="AT135" i="33"/>
  <c r="AU135" i="33"/>
  <c r="AV135" i="33"/>
  <c r="AW135" i="33"/>
  <c r="AX135" i="33"/>
  <c r="AY135" i="33"/>
  <c r="AZ135" i="33"/>
  <c r="BA135" i="33"/>
  <c r="BB135" i="33"/>
  <c r="BC135" i="33"/>
  <c r="BD135" i="33"/>
  <c r="BE135" i="33"/>
  <c r="BF135" i="33"/>
  <c r="BG135" i="33"/>
  <c r="BH135" i="33"/>
  <c r="BI135" i="33"/>
  <c r="BJ135" i="33"/>
  <c r="BK135" i="33"/>
  <c r="BL135" i="33"/>
  <c r="BM135" i="33"/>
  <c r="BN135" i="33"/>
  <c r="BO135" i="33"/>
  <c r="BP135" i="33"/>
  <c r="BQ135" i="33"/>
  <c r="BR135" i="33"/>
  <c r="BS135" i="33"/>
  <c r="BT135" i="33"/>
  <c r="BU135" i="33"/>
  <c r="M136" i="33"/>
  <c r="N136" i="33"/>
  <c r="O136" i="33"/>
  <c r="P136" i="33"/>
  <c r="Q136" i="33"/>
  <c r="R136" i="33"/>
  <c r="S136" i="33"/>
  <c r="T136" i="33"/>
  <c r="U136" i="33"/>
  <c r="V136" i="33"/>
  <c r="W136" i="33"/>
  <c r="X136" i="33"/>
  <c r="Y136" i="33"/>
  <c r="Z136" i="33"/>
  <c r="AA136" i="33"/>
  <c r="AB136" i="33"/>
  <c r="AC136" i="33"/>
  <c r="AD136" i="33"/>
  <c r="AE136" i="33"/>
  <c r="AF136" i="33"/>
  <c r="AG136" i="33"/>
  <c r="AH136" i="33"/>
  <c r="AI136" i="33"/>
  <c r="AJ136" i="33"/>
  <c r="AK136" i="33"/>
  <c r="AL136" i="33"/>
  <c r="AM136" i="33"/>
  <c r="AN136" i="33"/>
  <c r="AO136" i="33"/>
  <c r="AP136" i="33"/>
  <c r="AQ136" i="33"/>
  <c r="AR136" i="33"/>
  <c r="AS136" i="33"/>
  <c r="AT136" i="33"/>
  <c r="AU136" i="33"/>
  <c r="AV136" i="33"/>
  <c r="AW136" i="33"/>
  <c r="AX136" i="33"/>
  <c r="AY136" i="33"/>
  <c r="AZ136" i="33"/>
  <c r="BA136" i="33"/>
  <c r="BB136" i="33"/>
  <c r="BC136" i="33"/>
  <c r="BD136" i="33"/>
  <c r="BE136" i="33"/>
  <c r="BF136" i="33"/>
  <c r="BG136" i="33"/>
  <c r="BH136" i="33"/>
  <c r="BI136" i="33"/>
  <c r="BJ136" i="33"/>
  <c r="BK136" i="33"/>
  <c r="BL136" i="33"/>
  <c r="BM136" i="33"/>
  <c r="BN136" i="33"/>
  <c r="BO136" i="33"/>
  <c r="BP136" i="33"/>
  <c r="BQ136" i="33"/>
  <c r="BR136" i="33"/>
  <c r="BS136" i="33"/>
  <c r="BT136" i="33"/>
  <c r="BU136" i="33"/>
  <c r="M137" i="33"/>
  <c r="N137" i="33"/>
  <c r="O137" i="33"/>
  <c r="P137" i="33"/>
  <c r="Q137" i="33"/>
  <c r="R137" i="33"/>
  <c r="S137" i="33"/>
  <c r="T137" i="33"/>
  <c r="U137" i="33"/>
  <c r="V137" i="33"/>
  <c r="W137" i="33"/>
  <c r="X137" i="33"/>
  <c r="Y137" i="33"/>
  <c r="Z137" i="33"/>
  <c r="AA137" i="33"/>
  <c r="AB137" i="33"/>
  <c r="AC137" i="33"/>
  <c r="AD137" i="33"/>
  <c r="AE137" i="33"/>
  <c r="AF137" i="33"/>
  <c r="AG137" i="33"/>
  <c r="AH137" i="33"/>
  <c r="AI137" i="33"/>
  <c r="AJ137" i="33"/>
  <c r="AK137" i="33"/>
  <c r="AL137" i="33"/>
  <c r="AM137" i="33"/>
  <c r="AN137" i="33"/>
  <c r="AO137" i="33"/>
  <c r="AP137" i="33"/>
  <c r="AQ137" i="33"/>
  <c r="AR137" i="33"/>
  <c r="AS137" i="33"/>
  <c r="AT137" i="33"/>
  <c r="AU137" i="33"/>
  <c r="AV137" i="33"/>
  <c r="AW137" i="33"/>
  <c r="AX137" i="33"/>
  <c r="AY137" i="33"/>
  <c r="AZ137" i="33"/>
  <c r="BA137" i="33"/>
  <c r="BB137" i="33"/>
  <c r="BC137" i="33"/>
  <c r="BD137" i="33"/>
  <c r="BE137" i="33"/>
  <c r="BF137" i="33"/>
  <c r="BG137" i="33"/>
  <c r="BH137" i="33"/>
  <c r="BI137" i="33"/>
  <c r="BJ137" i="33"/>
  <c r="BK137" i="33"/>
  <c r="BL137" i="33"/>
  <c r="BM137" i="33"/>
  <c r="BN137" i="33"/>
  <c r="BO137" i="33"/>
  <c r="BP137" i="33"/>
  <c r="BQ137" i="33"/>
  <c r="BR137" i="33"/>
  <c r="BS137" i="33"/>
  <c r="BT137" i="33"/>
  <c r="BU137" i="33"/>
  <c r="M140" i="33" a="1"/>
  <c r="N140" i="33" a="1"/>
  <c r="O140" i="33" a="1"/>
  <c r="P140" i="33" a="1"/>
  <c r="Q140" i="33" a="1"/>
  <c r="R140" i="33" a="1"/>
  <c r="S140" i="33" a="1"/>
  <c r="T140" i="33" a="1"/>
  <c r="U140" i="33" a="1"/>
  <c r="V140" i="33" a="1"/>
  <c r="W140" i="33" a="1"/>
  <c r="X140" i="33" a="1"/>
  <c r="Y140" i="33" a="1"/>
  <c r="Z140" i="33" a="1"/>
  <c r="AA140" i="33" a="1"/>
  <c r="AB140" i="33" a="1"/>
  <c r="AC140" i="33" a="1"/>
  <c r="AD140" i="33" a="1"/>
  <c r="AE140" i="33" a="1"/>
  <c r="AF140" i="33" a="1"/>
  <c r="AG140" i="33" a="1"/>
  <c r="AH140" i="33" a="1"/>
  <c r="AI140" i="33" a="1"/>
  <c r="AJ140" i="33" a="1"/>
  <c r="AK140" i="33" a="1"/>
  <c r="AL140" i="33" a="1"/>
  <c r="AM140" i="33" a="1"/>
  <c r="AN140" i="33" a="1"/>
  <c r="AO140" i="33" a="1"/>
  <c r="AP140" i="33" a="1"/>
  <c r="AQ140" i="33" a="1"/>
  <c r="AR140" i="33" a="1"/>
  <c r="AS140" i="33" a="1"/>
  <c r="AT140" i="33" a="1"/>
  <c r="AU140" i="33" a="1"/>
  <c r="AV140" i="33" a="1"/>
  <c r="AW140" i="33" a="1"/>
  <c r="AX140" i="33" a="1"/>
  <c r="AY140" i="33" a="1"/>
  <c r="AZ140" i="33" a="1"/>
  <c r="BA140" i="33" a="1"/>
  <c r="BB140" i="33" a="1"/>
  <c r="BC140" i="33" a="1"/>
  <c r="BD140" i="33" a="1"/>
  <c r="BE140" i="33" a="1"/>
  <c r="BF140" i="33" a="1"/>
  <c r="BG140" i="33" a="1"/>
  <c r="BH140" i="33" a="1"/>
  <c r="BI140" i="33" a="1"/>
  <c r="BJ140" i="33" a="1"/>
  <c r="BK140" i="33" a="1"/>
  <c r="BL140" i="33" a="1"/>
  <c r="BM140" i="33" a="1"/>
  <c r="BN140" i="33" a="1"/>
  <c r="BO140" i="33" a="1"/>
  <c r="BP140" i="33" a="1"/>
  <c r="BQ140" i="33" a="1"/>
  <c r="BR140" i="33" a="1"/>
  <c r="BS140" i="33" a="1"/>
  <c r="BT140" i="33" a="1"/>
  <c r="BU140" i="33" a="1"/>
  <c r="L141" i="33" a="1"/>
  <c r="M141" i="33"/>
  <c r="N141" i="33"/>
  <c r="O141" i="33"/>
  <c r="P141" i="33"/>
  <c r="Q141" i="33"/>
  <c r="R141" i="33"/>
  <c r="S141" i="33"/>
  <c r="T141" i="33"/>
  <c r="U141" i="33"/>
  <c r="V141" i="33"/>
  <c r="W141" i="33"/>
  <c r="X141" i="33"/>
  <c r="Y141" i="33"/>
  <c r="Z141" i="33"/>
  <c r="AA141" i="33"/>
  <c r="AB141" i="33"/>
  <c r="AC141" i="33"/>
  <c r="AD141" i="33"/>
  <c r="AE141" i="33"/>
  <c r="AF141" i="33"/>
  <c r="AG141" i="33"/>
  <c r="AH141" i="33"/>
  <c r="AI141" i="33"/>
  <c r="AJ141" i="33"/>
  <c r="AK141" i="33"/>
  <c r="AL141" i="33"/>
  <c r="AM141" i="33"/>
  <c r="AN141" i="33"/>
  <c r="AO141" i="33"/>
  <c r="AP141" i="33"/>
  <c r="AQ141" i="33"/>
  <c r="AR141" i="33"/>
  <c r="AS141" i="33"/>
  <c r="AT141" i="33"/>
  <c r="AU141" i="33"/>
  <c r="AV141" i="33"/>
  <c r="AW141" i="33"/>
  <c r="AX141" i="33"/>
  <c r="AY141" i="33"/>
  <c r="AZ141" i="33"/>
  <c r="BA141" i="33"/>
  <c r="BB141" i="33"/>
  <c r="BC141" i="33"/>
  <c r="BD141" i="33"/>
  <c r="BE141" i="33"/>
  <c r="BF141" i="33"/>
  <c r="BG141" i="33"/>
  <c r="BH141" i="33"/>
  <c r="BI141" i="33"/>
  <c r="BJ141" i="33"/>
  <c r="BK141" i="33"/>
  <c r="BL141" i="33"/>
  <c r="BM141" i="33"/>
  <c r="BN141" i="33"/>
  <c r="BO141" i="33"/>
  <c r="BP141" i="33"/>
  <c r="BQ141" i="33"/>
  <c r="BR141" i="33"/>
  <c r="BS141" i="33"/>
  <c r="BT141" i="33"/>
  <c r="BU141" i="33"/>
  <c r="M142" i="33"/>
  <c r="N142" i="33"/>
  <c r="O142" i="33"/>
  <c r="P142" i="33"/>
  <c r="Q142" i="33"/>
  <c r="R142" i="33"/>
  <c r="S142" i="33"/>
  <c r="T142" i="33"/>
  <c r="U142" i="33"/>
  <c r="V142" i="33"/>
  <c r="W142" i="33"/>
  <c r="X142" i="33"/>
  <c r="Y142" i="33"/>
  <c r="Z142" i="33"/>
  <c r="AA142" i="33"/>
  <c r="AB142" i="33"/>
  <c r="AC142" i="33"/>
  <c r="AD142" i="33"/>
  <c r="AE142" i="33"/>
  <c r="AF142" i="33"/>
  <c r="AG142" i="33"/>
  <c r="AH142" i="33"/>
  <c r="AI142" i="33"/>
  <c r="AJ142" i="33"/>
  <c r="AK142" i="33"/>
  <c r="AL142" i="33"/>
  <c r="AM142" i="33"/>
  <c r="AN142" i="33"/>
  <c r="AO142" i="33"/>
  <c r="AP142" i="33"/>
  <c r="AQ142" i="33"/>
  <c r="AR142" i="33"/>
  <c r="AS142" i="33"/>
  <c r="AT142" i="33"/>
  <c r="AU142" i="33"/>
  <c r="AV142" i="33"/>
  <c r="AW142" i="33"/>
  <c r="AX142" i="33"/>
  <c r="AY142" i="33"/>
  <c r="AZ142" i="33"/>
  <c r="BA142" i="33"/>
  <c r="BB142" i="33"/>
  <c r="BC142" i="33"/>
  <c r="BD142" i="33"/>
  <c r="BE142" i="33"/>
  <c r="BF142" i="33"/>
  <c r="BG142" i="33"/>
  <c r="BH142" i="33"/>
  <c r="BI142" i="33"/>
  <c r="BJ142" i="33"/>
  <c r="BK142" i="33"/>
  <c r="BL142" i="33"/>
  <c r="BM142" i="33"/>
  <c r="BN142" i="33"/>
  <c r="BO142" i="33"/>
  <c r="BP142" i="33"/>
  <c r="BQ142" i="33"/>
  <c r="BR142" i="33"/>
  <c r="BS142" i="33"/>
  <c r="BT142" i="33"/>
  <c r="BU142" i="33"/>
  <c r="M143" i="33"/>
  <c r="N143" i="33"/>
  <c r="O143" i="33"/>
  <c r="P143" i="33"/>
  <c r="Q143" i="33"/>
  <c r="R143" i="33"/>
  <c r="S143" i="33"/>
  <c r="T143" i="33"/>
  <c r="U143" i="33"/>
  <c r="V143" i="33"/>
  <c r="W143" i="33"/>
  <c r="X143" i="33"/>
  <c r="Y143" i="33"/>
  <c r="Z143" i="33"/>
  <c r="AA143" i="33"/>
  <c r="AB143" i="33"/>
  <c r="AC143" i="33"/>
  <c r="AD143" i="33"/>
  <c r="AE143" i="33"/>
  <c r="AF143" i="33"/>
  <c r="AG143" i="33"/>
  <c r="AH143" i="33"/>
  <c r="AI143" i="33"/>
  <c r="AJ143" i="33"/>
  <c r="AK143" i="33"/>
  <c r="AL143" i="33"/>
  <c r="AM143" i="33"/>
  <c r="AN143" i="33"/>
  <c r="AO143" i="33"/>
  <c r="AP143" i="33"/>
  <c r="AQ143" i="33"/>
  <c r="AR143" i="33"/>
  <c r="AS143" i="33"/>
  <c r="AT143" i="33"/>
  <c r="AU143" i="33"/>
  <c r="AV143" i="33"/>
  <c r="AW143" i="33"/>
  <c r="AX143" i="33"/>
  <c r="AY143" i="33"/>
  <c r="AZ143" i="33"/>
  <c r="BA143" i="33"/>
  <c r="BB143" i="33"/>
  <c r="BC143" i="33"/>
  <c r="BD143" i="33"/>
  <c r="BE143" i="33"/>
  <c r="BF143" i="33"/>
  <c r="BG143" i="33"/>
  <c r="BH143" i="33"/>
  <c r="BI143" i="33"/>
  <c r="BJ143" i="33"/>
  <c r="BK143" i="33"/>
  <c r="BL143" i="33"/>
  <c r="BM143" i="33"/>
  <c r="BN143" i="33"/>
  <c r="BO143" i="33"/>
  <c r="BP143" i="33"/>
  <c r="BQ143" i="33"/>
  <c r="BR143" i="33"/>
  <c r="BS143" i="33"/>
  <c r="BT143" i="33"/>
  <c r="BU143" i="33"/>
  <c r="M146" i="33"/>
  <c r="N146" i="33"/>
  <c r="O146" i="33"/>
  <c r="P146" i="33"/>
  <c r="Q146" i="33"/>
  <c r="R146" i="33"/>
  <c r="S146" i="33"/>
  <c r="T146" i="33"/>
  <c r="U146" i="33"/>
  <c r="V146" i="33"/>
  <c r="W146" i="33"/>
  <c r="X146" i="33"/>
  <c r="Y146" i="33"/>
  <c r="Z146" i="33"/>
  <c r="AA146" i="33"/>
  <c r="AB146" i="33"/>
  <c r="AC146" i="33"/>
  <c r="AD146" i="33"/>
  <c r="AE146" i="33"/>
  <c r="AF146" i="33"/>
  <c r="AG146" i="33"/>
  <c r="AH146" i="33"/>
  <c r="AI146" i="33"/>
  <c r="AJ146" i="33"/>
  <c r="AK146" i="33"/>
  <c r="AL146" i="33"/>
  <c r="AM146" i="33"/>
  <c r="AN146" i="33"/>
  <c r="AO146" i="33"/>
  <c r="AP146" i="33"/>
  <c r="AQ146" i="33"/>
  <c r="AR146" i="33"/>
  <c r="AS146" i="33"/>
  <c r="AT146" i="33"/>
  <c r="AU146" i="33"/>
  <c r="AV146" i="33"/>
  <c r="AW146" i="33"/>
  <c r="AX146" i="33"/>
  <c r="AY146" i="33"/>
  <c r="AZ146" i="33"/>
  <c r="BA146" i="33"/>
  <c r="BB146" i="33"/>
  <c r="BC146" i="33"/>
  <c r="BD146" i="33"/>
  <c r="BE146" i="33"/>
  <c r="BF146" i="33"/>
  <c r="BG146" i="33"/>
  <c r="BH146" i="33"/>
  <c r="BI146" i="33"/>
  <c r="BJ146" i="33"/>
  <c r="BK146" i="33"/>
  <c r="BL146" i="33"/>
  <c r="BM146" i="33"/>
  <c r="BN146" i="33"/>
  <c r="BO146" i="33"/>
  <c r="BP146" i="33"/>
  <c r="BQ146" i="33"/>
  <c r="BR146" i="33"/>
  <c r="BS146" i="33"/>
  <c r="BT146" i="33"/>
  <c r="BU146" i="33"/>
  <c r="M147" i="33"/>
  <c r="N147" i="33"/>
  <c r="O147" i="33"/>
  <c r="P147" i="33"/>
  <c r="Q147" i="33"/>
  <c r="R147" i="33"/>
  <c r="S147" i="33"/>
  <c r="T147" i="33"/>
  <c r="U147" i="33"/>
  <c r="V147" i="33"/>
  <c r="W147" i="33"/>
  <c r="X147" i="33"/>
  <c r="Y147" i="33"/>
  <c r="Z147" i="33"/>
  <c r="AA147" i="33"/>
  <c r="AB147" i="33"/>
  <c r="AC147" i="33"/>
  <c r="AD147" i="33"/>
  <c r="AE147" i="33"/>
  <c r="AF147" i="33"/>
  <c r="AG147" i="33"/>
  <c r="AH147" i="33"/>
  <c r="AI147" i="33"/>
  <c r="AJ147" i="33"/>
  <c r="AK147" i="33"/>
  <c r="AL147" i="33"/>
  <c r="AM147" i="33"/>
  <c r="AN147" i="33"/>
  <c r="AO147" i="33"/>
  <c r="AP147" i="33"/>
  <c r="AQ147" i="33"/>
  <c r="AR147" i="33"/>
  <c r="AS147" i="33"/>
  <c r="AT147" i="33"/>
  <c r="AU147" i="33"/>
  <c r="AV147" i="33"/>
  <c r="AW147" i="33"/>
  <c r="AX147" i="33"/>
  <c r="AY147" i="33"/>
  <c r="AZ147" i="33"/>
  <c r="BA147" i="33"/>
  <c r="BB147" i="33"/>
  <c r="BC147" i="33"/>
  <c r="BD147" i="33"/>
  <c r="BE147" i="33"/>
  <c r="BF147" i="33"/>
  <c r="BG147" i="33"/>
  <c r="BH147" i="33"/>
  <c r="BI147" i="33"/>
  <c r="BJ147" i="33"/>
  <c r="BK147" i="33"/>
  <c r="BL147" i="33"/>
  <c r="BM147" i="33"/>
  <c r="BN147" i="33"/>
  <c r="BO147" i="33"/>
  <c r="BP147" i="33"/>
  <c r="BQ147" i="33"/>
  <c r="BR147" i="33"/>
  <c r="BS147" i="33"/>
  <c r="BT147" i="33"/>
  <c r="BU147" i="3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<sst xmlns="http://schemas.openxmlformats.org/spreadsheetml/2006/main" count="673" uniqueCount="494">
  <si>
    <t>$/SF</t>
  </si>
  <si>
    <t>Effective Gross Income</t>
  </si>
  <si>
    <t>Operating Expenses</t>
  </si>
  <si>
    <t>Amount</t>
  </si>
  <si>
    <t>Total</t>
  </si>
  <si>
    <t>Exit Cap</t>
  </si>
  <si>
    <t>Equity</t>
  </si>
  <si>
    <t>Total Sources</t>
  </si>
  <si>
    <t>Net Operating Income</t>
  </si>
  <si>
    <t>Total Operating Expenses</t>
  </si>
  <si>
    <t>Rate</t>
  </si>
  <si>
    <t>Address</t>
  </si>
  <si>
    <t>SF</t>
  </si>
  <si>
    <t>Parking Ratio</t>
  </si>
  <si>
    <t>Assumption</t>
  </si>
  <si>
    <t>24420 N. 7th Ave., Phoenix, AZ 85085</t>
  </si>
  <si>
    <t>210-08-031C</t>
  </si>
  <si>
    <t>Single-story, rear-load industrial</t>
  </si>
  <si>
    <t>Loading</t>
  </si>
  <si>
    <t>Stabilization</t>
  </si>
  <si>
    <t>Tenant</t>
  </si>
  <si>
    <t>Leased SF</t>
  </si>
  <si>
    <t>Month 16</t>
  </si>
  <si>
    <t>Hard Costs</t>
  </si>
  <si>
    <t>Soft Costs</t>
  </si>
  <si>
    <t>Insurance</t>
  </si>
  <si>
    <t>Deer Valley Industrial Project - Cash Flow and Returns</t>
  </si>
  <si>
    <t>Req. Equity</t>
  </si>
  <si>
    <t>Net Profit</t>
  </si>
  <si>
    <t>Dev. Spread</t>
  </si>
  <si>
    <t>GP IRR</t>
  </si>
  <si>
    <t>GP Emx</t>
  </si>
  <si>
    <t>LP IRR</t>
  </si>
  <si>
    <t>City</t>
  </si>
  <si>
    <t>24420 N. 7th Ave.</t>
  </si>
  <si>
    <t>Phoenix, AZ 85085</t>
  </si>
  <si>
    <t>Analysis Start</t>
  </si>
  <si>
    <t>Operation Start</t>
  </si>
  <si>
    <t>Land Size (SF)</t>
  </si>
  <si>
    <t>Building SF</t>
  </si>
  <si>
    <t>Investment Cash Flows</t>
  </si>
  <si>
    <t>Land Purchase Price</t>
  </si>
  <si>
    <t>Project Cost</t>
  </si>
  <si>
    <t>Start</t>
  </si>
  <si>
    <t>End</t>
  </si>
  <si>
    <t>/SF</t>
  </si>
  <si>
    <t>Land Closing Costs</t>
  </si>
  <si>
    <t>Tenant Improvements (1)</t>
  </si>
  <si>
    <t>Tenant Improvements (2)</t>
  </si>
  <si>
    <t>Leasing Commissions (1)</t>
  </si>
  <si>
    <t>Leasing Commissions (2)</t>
  </si>
  <si>
    <t>Total Project Cost (before debt)</t>
  </si>
  <si>
    <t>Construction Interest</t>
  </si>
  <si>
    <t>Fee</t>
  </si>
  <si>
    <t>Financing Fees</t>
  </si>
  <si>
    <t>Total Project Cost (after debt)</t>
  </si>
  <si>
    <t>Tenant Improvements (3)</t>
  </si>
  <si>
    <t>Tenant Improvements (4)</t>
  </si>
  <si>
    <t>Tenant Improvements (5)</t>
  </si>
  <si>
    <t>Tenant Improvements (6)</t>
  </si>
  <si>
    <t>Tenant Improvements (7)</t>
  </si>
  <si>
    <t>Leasing Commissions (3)</t>
  </si>
  <si>
    <t>Leasing Commissions (4)</t>
  </si>
  <si>
    <t>Leasing Commissions (5)</t>
  </si>
  <si>
    <t>Leasing Commissions (6)</t>
  </si>
  <si>
    <t>Leasing Commissions (7)</t>
  </si>
  <si>
    <t>Sources and Uses (before Op. Shortfall)</t>
  </si>
  <si>
    <t>Debt</t>
  </si>
  <si>
    <t>% of Total</t>
  </si>
  <si>
    <t>Operating Cash Flows</t>
  </si>
  <si>
    <t>Revenue</t>
  </si>
  <si>
    <t>Tenant #1</t>
  </si>
  <si>
    <t>Tenant #2</t>
  </si>
  <si>
    <t>Tenant #3</t>
  </si>
  <si>
    <t>Tenant #4</t>
  </si>
  <si>
    <t>Tenant #5</t>
  </si>
  <si>
    <t>Tenant #6</t>
  </si>
  <si>
    <t>Tenant #7</t>
  </si>
  <si>
    <t>Total Potential Rent</t>
  </si>
  <si>
    <t>Tenant #1 Recoveries</t>
  </si>
  <si>
    <t>Tenant #2 Recoveries</t>
  </si>
  <si>
    <t>Tenant #3 Recoveries</t>
  </si>
  <si>
    <t>Tenant #4 Recoveries</t>
  </si>
  <si>
    <t>Tenant #5 Recoveries</t>
  </si>
  <si>
    <t>Tenant #6 Recoveries</t>
  </si>
  <si>
    <t>Tenant #7 Recoveries</t>
  </si>
  <si>
    <t>Total Other Income</t>
  </si>
  <si>
    <t>Total Potential Income</t>
  </si>
  <si>
    <t>Vacancy and Credit Loss</t>
  </si>
  <si>
    <t xml:space="preserve">Lease Start </t>
  </si>
  <si>
    <t>Rent Start</t>
  </si>
  <si>
    <t>Rent/SF/YR</t>
  </si>
  <si>
    <t>Lease-up Interval</t>
  </si>
  <si>
    <t>Free Rent</t>
  </si>
  <si>
    <t>First Occupancy after Completion</t>
  </si>
  <si>
    <t>% of Expenses</t>
  </si>
  <si>
    <t>Rent Increase</t>
  </si>
  <si>
    <t>Rent Inc.</t>
  </si>
  <si>
    <t>Property Taxes</t>
  </si>
  <si>
    <t>Non-Recoverable Expenses</t>
  </si>
  <si>
    <t>Growth</t>
  </si>
  <si>
    <t>Replacement Reserve</t>
  </si>
  <si>
    <t>Cash Flow from Operation</t>
  </si>
  <si>
    <t>TI per SF</t>
  </si>
  <si>
    <t>LC %</t>
  </si>
  <si>
    <t>S-curve</t>
  </si>
  <si>
    <t>Soft Costs (15%)</t>
  </si>
  <si>
    <t>Contingency (5%)</t>
  </si>
  <si>
    <t>Check</t>
  </si>
  <si>
    <t>Beg. Loan Balance</t>
  </si>
  <si>
    <t>End Loan Balance</t>
  </si>
  <si>
    <t>Interest Due</t>
  </si>
  <si>
    <t>SOFR</t>
  </si>
  <si>
    <t>Reset Date</t>
  </si>
  <si>
    <t>1M Term SOFR</t>
  </si>
  <si>
    <t>10/11/2026</t>
  </si>
  <si>
    <t>11/11/2026</t>
  </si>
  <si>
    <t>12/11/2026</t>
  </si>
  <si>
    <t>1/11/2027</t>
  </si>
  <si>
    <t>2/11/2027</t>
  </si>
  <si>
    <t>3/11/2027</t>
  </si>
  <si>
    <t>4/11/2027</t>
  </si>
  <si>
    <t>5/11/2027</t>
  </si>
  <si>
    <t>6/11/2027</t>
  </si>
  <si>
    <t>7/11/2027</t>
  </si>
  <si>
    <t>8/11/2027</t>
  </si>
  <si>
    <t>9/11/2027</t>
  </si>
  <si>
    <t>10/11/2027</t>
  </si>
  <si>
    <t>11/11/2027</t>
  </si>
  <si>
    <t>12/11/2027</t>
  </si>
  <si>
    <t>1/11/2028</t>
  </si>
  <si>
    <t>2/11/2028</t>
  </si>
  <si>
    <t>3/11/2028</t>
  </si>
  <si>
    <t>4/11/2028</t>
  </si>
  <si>
    <t>5/11/2028</t>
  </si>
  <si>
    <t>6/11/2028</t>
  </si>
  <si>
    <t>7/11/2028</t>
  </si>
  <si>
    <t>8/11/2028</t>
  </si>
  <si>
    <t>9/11/2028</t>
  </si>
  <si>
    <t>10/11/2028</t>
  </si>
  <si>
    <t>11/11/2028</t>
  </si>
  <si>
    <t>12/11/2028</t>
  </si>
  <si>
    <t>1/11/2029</t>
  </si>
  <si>
    <t>2/11/2029</t>
  </si>
  <si>
    <t>3/11/2029</t>
  </si>
  <si>
    <t>4/11/2029</t>
  </si>
  <si>
    <t>5/11/2029</t>
  </si>
  <si>
    <t>6/11/2029</t>
  </si>
  <si>
    <t>7/11/2029</t>
  </si>
  <si>
    <t>8/11/2029</t>
  </si>
  <si>
    <t>9/11/2029</t>
  </si>
  <si>
    <t>10/11/2029</t>
  </si>
  <si>
    <t>11/11/2029</t>
  </si>
  <si>
    <t>12/11/2029</t>
  </si>
  <si>
    <t>1/11/2030</t>
  </si>
  <si>
    <t>2/11/2030</t>
  </si>
  <si>
    <t>3/11/2030</t>
  </si>
  <si>
    <t>4/11/2030</t>
  </si>
  <si>
    <t>5/11/2030</t>
  </si>
  <si>
    <t>6/11/2030</t>
  </si>
  <si>
    <t>7/11/2030</t>
  </si>
  <si>
    <t>8/11/2030</t>
  </si>
  <si>
    <t>9/11/2030</t>
  </si>
  <si>
    <t>10/11/2030</t>
  </si>
  <si>
    <t>11/11/2030</t>
  </si>
  <si>
    <t>12/11/2030</t>
  </si>
  <si>
    <t>1/11/2031</t>
  </si>
  <si>
    <t>2/11/2031</t>
  </si>
  <si>
    <t>3/11/2031</t>
  </si>
  <si>
    <t>4/11/2031</t>
  </si>
  <si>
    <t>5/11/2031</t>
  </si>
  <si>
    <t>6/11/2031</t>
  </si>
  <si>
    <t>7/11/2031</t>
  </si>
  <si>
    <t>8/11/2031</t>
  </si>
  <si>
    <t>9/11/2031</t>
  </si>
  <si>
    <t>10/11/2031</t>
  </si>
  <si>
    <t>11/11/2031</t>
  </si>
  <si>
    <t>12/11/2031</t>
  </si>
  <si>
    <t>1/11/2032</t>
  </si>
  <si>
    <t>2/11/2032</t>
  </si>
  <si>
    <t>3/11/2032</t>
  </si>
  <si>
    <t>4/11/2032</t>
  </si>
  <si>
    <t>5/11/2032</t>
  </si>
  <si>
    <t>6/11/2032</t>
  </si>
  <si>
    <t>7/11/2032</t>
  </si>
  <si>
    <t>8/11/2032</t>
  </si>
  <si>
    <t>9/11/2032</t>
  </si>
  <si>
    <t>10/11/2032</t>
  </si>
  <si>
    <t>11/11/2032</t>
  </si>
  <si>
    <t>12/11/2032</t>
  </si>
  <si>
    <t>1/11/2033</t>
  </si>
  <si>
    <t>2/11/2033</t>
  </si>
  <si>
    <t>3/11/2033</t>
  </si>
  <si>
    <t>4/11/2033</t>
  </si>
  <si>
    <t>5/11/2033</t>
  </si>
  <si>
    <t>6/11/2033</t>
  </si>
  <si>
    <t>7/11/2033</t>
  </si>
  <si>
    <t>8/11/2033</t>
  </si>
  <si>
    <t>9/11/2033</t>
  </si>
  <si>
    <t>10/11/2033</t>
  </si>
  <si>
    <t>11/11/2033</t>
  </si>
  <si>
    <t>12/11/2033</t>
  </si>
  <si>
    <t>1/11/2034</t>
  </si>
  <si>
    <t>2/11/2034</t>
  </si>
  <si>
    <t>3/11/2034</t>
  </si>
  <si>
    <t>4/11/2034</t>
  </si>
  <si>
    <t>5/11/2034</t>
  </si>
  <si>
    <t>6/11/2034</t>
  </si>
  <si>
    <t>7/11/2034</t>
  </si>
  <si>
    <t>8/11/2034</t>
  </si>
  <si>
    <t>9/11/2034</t>
  </si>
  <si>
    <t>10/11/2034</t>
  </si>
  <si>
    <t>11/11/2034</t>
  </si>
  <si>
    <t>12/11/2034</t>
  </si>
  <si>
    <t>1/11/2035</t>
  </si>
  <si>
    <t>2/11/2035</t>
  </si>
  <si>
    <t>3/11/2035</t>
  </si>
  <si>
    <t>4/11/2035</t>
  </si>
  <si>
    <t>5/11/2035</t>
  </si>
  <si>
    <t>6/11/2035</t>
  </si>
  <si>
    <t>7/11/2035</t>
  </si>
  <si>
    <t>8/11/2035</t>
  </si>
  <si>
    <t>9/11/2035</t>
  </si>
  <si>
    <t>10/11/2035</t>
  </si>
  <si>
    <t>11/11/2035</t>
  </si>
  <si>
    <t>12/11/2035</t>
  </si>
  <si>
    <t>1/11/2036</t>
  </si>
  <si>
    <t>2/11/2036</t>
  </si>
  <si>
    <t>3/11/2036</t>
  </si>
  <si>
    <t>4/11/2036</t>
  </si>
  <si>
    <t>5/11/2036</t>
  </si>
  <si>
    <t>6/11/2036</t>
  </si>
  <si>
    <t>7/11/2036</t>
  </si>
  <si>
    <t>8/11/2036</t>
  </si>
  <si>
    <t>9/11/2036</t>
  </si>
  <si>
    <t>10/9/2036</t>
  </si>
  <si>
    <t>Reversion Cash Flows</t>
  </si>
  <si>
    <t>Sale Month</t>
  </si>
  <si>
    <t>Sales price</t>
  </si>
  <si>
    <t>Selling Cost</t>
  </si>
  <si>
    <t>Total Proceeds from Sale</t>
  </si>
  <si>
    <t>Loan Payoff</t>
  </si>
  <si>
    <t>Net Proceeds</t>
  </si>
  <si>
    <t>Unlevered Cash Flow</t>
  </si>
  <si>
    <t>IRR</t>
  </si>
  <si>
    <t>Emx</t>
  </si>
  <si>
    <t>Levered Cash Flow</t>
  </si>
  <si>
    <t>Partnership Cash Flow and Returns</t>
  </si>
  <si>
    <t>LP</t>
  </si>
  <si>
    <t>GP</t>
  </si>
  <si>
    <t>% of Equity</t>
  </si>
  <si>
    <t>CF Contributions</t>
  </si>
  <si>
    <t>CF Distributions</t>
  </si>
  <si>
    <t>Total Cash Flow</t>
  </si>
  <si>
    <t>Tier 1</t>
  </si>
  <si>
    <t>LP Beg. Balance</t>
  </si>
  <si>
    <t>LP Req. Returned</t>
  </si>
  <si>
    <t>LP Distributions</t>
  </si>
  <si>
    <t>LP CF</t>
  </si>
  <si>
    <t>GP Contribution</t>
  </si>
  <si>
    <t>GP Distribution</t>
  </si>
  <si>
    <t>GP CF</t>
  </si>
  <si>
    <t>CF Remaining</t>
  </si>
  <si>
    <t>Hurdle</t>
  </si>
  <si>
    <t>LP Preferred Profit Paid</t>
  </si>
  <si>
    <t>GP Preferred Profit Paid</t>
  </si>
  <si>
    <t>GP Distributions</t>
  </si>
  <si>
    <t>Tier 3</t>
  </si>
  <si>
    <t>LP Distribution</t>
  </si>
  <si>
    <t>LP Distribution Required</t>
  </si>
  <si>
    <t>Tier 4</t>
  </si>
  <si>
    <t>Tier 5</t>
  </si>
  <si>
    <t>Profit</t>
  </si>
  <si>
    <t>Yield on Cost (before debt)</t>
  </si>
  <si>
    <t>Sale Comps</t>
  </si>
  <si>
    <t>Price</t>
  </si>
  <si>
    <t>Price/SF</t>
  </si>
  <si>
    <t>Sale Date</t>
  </si>
  <si>
    <t>NNN</t>
  </si>
  <si>
    <t>Sign Date</t>
  </si>
  <si>
    <t>Year Built</t>
  </si>
  <si>
    <t>Zoning</t>
  </si>
  <si>
    <t>Clear Height</t>
  </si>
  <si>
    <t>NNN/Gross</t>
  </si>
  <si>
    <t>New/Renewal</t>
  </si>
  <si>
    <t>Lease Term</t>
  </si>
  <si>
    <t>Rent/SF/Year</t>
  </si>
  <si>
    <t>Occupancy %</t>
  </si>
  <si>
    <t>625 E Pinnacle Peak Rd</t>
  </si>
  <si>
    <t>I-1</t>
  </si>
  <si>
    <t>Land AC</t>
  </si>
  <si>
    <t>Price/AC</t>
  </si>
  <si>
    <t>I-2</t>
  </si>
  <si>
    <t>13th Ave &amp; Happy Valley</t>
  </si>
  <si>
    <t>CP/GCP</t>
  </si>
  <si>
    <t>2117 W Whispering Wind Dr</t>
  </si>
  <si>
    <t>CPBP</t>
  </si>
  <si>
    <t>N Third Ave</t>
  </si>
  <si>
    <t>A-1</t>
  </si>
  <si>
    <t>24425 11th Ave</t>
  </si>
  <si>
    <t>1017 W Happy Valley Rd</t>
  </si>
  <si>
    <t>RU-43</t>
  </si>
  <si>
    <t>2101 W Pinnacle Peak Rd</t>
  </si>
  <si>
    <t>Average AC</t>
  </si>
  <si>
    <t>Average Price</t>
  </si>
  <si>
    <t>Average Price/AC</t>
  </si>
  <si>
    <t>Land Comps (Within 3 miles)</t>
  </si>
  <si>
    <t>23869 N 19th Ave</t>
  </si>
  <si>
    <t>8700 N 91st Ave</t>
  </si>
  <si>
    <t>Type</t>
  </si>
  <si>
    <t># of Tenants</t>
  </si>
  <si>
    <t>3755 W Van Buren St</t>
  </si>
  <si>
    <t>4350 W Lower Buckeye Rd</t>
  </si>
  <si>
    <t>250 E Elliot Rd</t>
  </si>
  <si>
    <t>Average Building SF</t>
  </si>
  <si>
    <t>Average Occupancy</t>
  </si>
  <si>
    <t>Average Price/SF</t>
  </si>
  <si>
    <t>1 East Deer Valley</t>
  </si>
  <si>
    <t>New</t>
  </si>
  <si>
    <t>MG</t>
  </si>
  <si>
    <t>8 Years</t>
  </si>
  <si>
    <t xml:space="preserve">Type </t>
  </si>
  <si>
    <t>Rent Comps (Within 3 Miles)</t>
  </si>
  <si>
    <t>1350 W Rose Garden Ln</t>
  </si>
  <si>
    <t>5 Years</t>
  </si>
  <si>
    <t>Trusval Technology</t>
  </si>
  <si>
    <t>Auto IQ</t>
  </si>
  <si>
    <t>2639 W Lone Cactus Dr</t>
  </si>
  <si>
    <t>-</t>
  </si>
  <si>
    <t>909 W Pinnacle Peak Rd</t>
  </si>
  <si>
    <t>2453 W Parkside Ln</t>
  </si>
  <si>
    <t>Pancake Now</t>
  </si>
  <si>
    <t>Average Year Built</t>
  </si>
  <si>
    <t>Average Clear Height</t>
  </si>
  <si>
    <t>Average SF</t>
  </si>
  <si>
    <t>Average Rent</t>
  </si>
  <si>
    <t>Tier 2 - GP Catch-Up</t>
  </si>
  <si>
    <t>GP Catch-Up</t>
  </si>
  <si>
    <t>Sale NOI (FL-12)</t>
  </si>
  <si>
    <t>CAM &amp; Management</t>
  </si>
  <si>
    <t>GP Catch-Up Required</t>
  </si>
  <si>
    <t>LP Contributions</t>
  </si>
  <si>
    <t>LP End Balance</t>
  </si>
  <si>
    <t>1. DEVELOPMENT PROGRAM</t>
  </si>
  <si>
    <t>Value / Description</t>
  </si>
  <si>
    <t>Property Type</t>
  </si>
  <si>
    <t>Class A small-bay industrial development</t>
  </si>
  <si>
    <t>Property Address</t>
  </si>
  <si>
    <t>Parcel Number</t>
  </si>
  <si>
    <t>Existing Zoning</t>
  </si>
  <si>
    <t>RU-43; industrial rezoning or entitlement required</t>
  </si>
  <si>
    <t>Site Area</t>
  </si>
  <si>
    <t>5.09 acres / approximately 221,745 SF</t>
  </si>
  <si>
    <t>80,000 SF</t>
  </si>
  <si>
    <t>Rentable Area</t>
  </si>
  <si>
    <t>Site Coverage</t>
  </si>
  <si>
    <t>Approximately 36.1%</t>
  </si>
  <si>
    <t>Building Configuration</t>
  </si>
  <si>
    <t>Suite Configuration</t>
  </si>
  <si>
    <t>7 suites averaging approximately 11,429 SF</t>
  </si>
  <si>
    <t>28 feet; proposed specification</t>
  </si>
  <si>
    <t>Office Finish</t>
  </si>
  <si>
    <t>Approximately 10% of rentable area; proposed specification</t>
  </si>
  <si>
    <t>2.0 spaces per 1,000 SF; proposed specification</t>
  </si>
  <si>
    <t>Total Parking</t>
  </si>
  <si>
    <t>Approximately 160 spaces</t>
  </si>
  <si>
    <t>Dock-high and grade-level access; final configuration subject to design</t>
  </si>
  <si>
    <t>Development Status</t>
  </si>
  <si>
    <t>Hypothetical development; zoning, site design and entitlements remain subject to verification</t>
  </si>
  <si>
    <t>2. DEVELOPMENT COSTS</t>
  </si>
  <si>
    <t>Land Acquisition</t>
  </si>
  <si>
    <t>1.0% of acquisition price</t>
  </si>
  <si>
    <t>Hard Construction Costs</t>
  </si>
  <si>
    <t>$145 per building SF, including assumed sitework and utilities</t>
  </si>
  <si>
    <t>15% of hard construction costs</t>
  </si>
  <si>
    <t>Construction Contingency</t>
  </si>
  <si>
    <t>5% of hard construction costs</t>
  </si>
  <si>
    <t>Tenant Improvements</t>
  </si>
  <si>
    <t>$10 per leased SF</t>
  </si>
  <si>
    <t>Leasing Commissions</t>
  </si>
  <si>
    <t>5% of contractual base rent over the initial seven-year lease term, excluding free rent</t>
  </si>
  <si>
    <t>Leasing Commission Timing</t>
  </si>
  <si>
    <t>Six months before each tenant's scheduled occupancy</t>
  </si>
  <si>
    <t>Capitalized through the applicable financing period</t>
  </si>
  <si>
    <t>Loan Origination Fee</t>
  </si>
  <si>
    <t>1.0% of construction loan amount</t>
  </si>
  <si>
    <t>Project Cost Basis</t>
  </si>
  <si>
    <t>Includes acquisition, construction, soft costs, contingency, leasing costs and financing expenses</t>
  </si>
  <si>
    <t>3. DEVELOPMENT SCHEDULE AND LEASE-UP</t>
  </si>
  <si>
    <t>Land Closing</t>
  </si>
  <si>
    <t>Month 0 — Dec. 31, 2026</t>
  </si>
  <si>
    <t>Construction Period</t>
  </si>
  <si>
    <t>Months 1–15</t>
  </si>
  <si>
    <t>Initial Occupancy</t>
  </si>
  <si>
    <t>Lease-Up Interval</t>
  </si>
  <si>
    <t>One additional tenant per month</t>
  </si>
  <si>
    <t>Initial Free Rent</t>
  </si>
  <si>
    <t>Three months per tenant</t>
  </si>
  <si>
    <t>First Rent Commencement</t>
  </si>
  <si>
    <t>Month 19</t>
  </si>
  <si>
    <t>Final Tenant Occupancy</t>
  </si>
  <si>
    <t>Month 22</t>
  </si>
  <si>
    <t>Final Rent Commencement</t>
  </si>
  <si>
    <t>Month 25</t>
  </si>
  <si>
    <t>Month 25; all seven suites generating contractual base rent</t>
  </si>
  <si>
    <t>Investment Hold</t>
  </si>
  <si>
    <t>36 months from land acquisition to disposition</t>
  </si>
  <si>
    <t>Disposition Timing</t>
  </si>
  <si>
    <t>Month 36, following approximately 11 full months of stabilized operations</t>
  </si>
  <si>
    <t>4. LEASING AND OPERATING ASSUMPTIONS</t>
  </si>
  <si>
    <t>Initial Base Rent</t>
  </si>
  <si>
    <t>$20.00 per SF annually, NNN</t>
  </si>
  <si>
    <t>Annual Rent Escalations</t>
  </si>
  <si>
    <t>Initial Lease Term</t>
  </si>
  <si>
    <t>Seven years</t>
  </si>
  <si>
    <t>Three months per tenant, beginning with occupancy</t>
  </si>
  <si>
    <t>Leasing Strategy</t>
  </si>
  <si>
    <t>Seven equal-sized industrial suites leased sequentially</t>
  </si>
  <si>
    <t>$1.65/SF annually; 3% growth</t>
  </si>
  <si>
    <t>$0.38/SF annually; 3% growth</t>
  </si>
  <si>
    <t>CAM and Management</t>
  </si>
  <si>
    <t>$1.32/SF annually; 3% growth</t>
  </si>
  <si>
    <t>Total Recoverable Expenses</t>
  </si>
  <si>
    <t>$3.35/SF annually before growth</t>
  </si>
  <si>
    <t>Nonrecoverable Expenses</t>
  </si>
  <si>
    <t>$0.25/SF annually; 3% growth</t>
  </si>
  <si>
    <t>Replacement Reserves</t>
  </si>
  <si>
    <t>$0.15/SF annually; 3% growth, deducted below NOI</t>
  </si>
  <si>
    <t>Initial Lease-Up Vacancy</t>
  </si>
  <si>
    <t>Determined by individual tenant occupancy and rent commencement dates</t>
  </si>
  <si>
    <t>Stabilized Physical Occupancy</t>
  </si>
  <si>
    <t>100% upon completion of initial lease-up</t>
  </si>
  <si>
    <t>Stabilized Vacancy and Credit Loss</t>
  </si>
  <si>
    <t>5.0% of potential income beginning at stabilization</t>
  </si>
  <si>
    <t>Expense Reimbursements</t>
  </si>
  <si>
    <t>NNN tenant recoveries based on each tenant's proportionate share of recoverable expenses</t>
  </si>
  <si>
    <t>Operating Expense Commencement</t>
  </si>
  <si>
    <t>Month 16, coinciding with first tenant occupancy</t>
  </si>
  <si>
    <t>5. CONSTRUCTION FINANCING</t>
  </si>
  <si>
    <t>Construction Loan Sizing</t>
  </si>
  <si>
    <t>60% of total development costs, including financing costs</t>
  </si>
  <si>
    <t>Partnership Equity</t>
  </si>
  <si>
    <t>40% of total development costs, excluding additional equity required for operating shortfalls</t>
  </si>
  <si>
    <t>Debt Draw Schedule</t>
  </si>
  <si>
    <t>Monthly funding according to project expenditures and equity funding requirements</t>
  </si>
  <si>
    <t>Interest Rate</t>
  </si>
  <si>
    <t>Projected one-month SOFR plus 350 basis points</t>
  </si>
  <si>
    <t>SOFR Assumptions</t>
  </si>
  <si>
    <t>Monthly forward-rate projections from the SOFR Curve worksheet</t>
  </si>
  <si>
    <t>Origination Fee</t>
  </si>
  <si>
    <t>1.0% of construction loan commitment</t>
  </si>
  <si>
    <t>Loan Amortization</t>
  </si>
  <si>
    <t>Interest-only during the development and hold period</t>
  </si>
  <si>
    <t>Unfunded interest capitalized into project costs</t>
  </si>
  <si>
    <t>Loan Repayment</t>
  </si>
  <si>
    <t>Outstanding construction loan repaid upon disposition</t>
  </si>
  <si>
    <t>Permanent Financing</t>
  </si>
  <si>
    <t>None; project underwritten as a merchant development and sale</t>
  </si>
  <si>
    <t>6. STABILIZATION AND DISPOSITION</t>
  </si>
  <si>
    <t>Target Stabilization</t>
  </si>
  <si>
    <t>Exit Timing</t>
  </si>
  <si>
    <t>Month 36</t>
  </si>
  <si>
    <t>Exit Valuation</t>
  </si>
  <si>
    <t>Forward 12-month NOI capitalized at the selected exit capitalization rate</t>
  </si>
  <si>
    <t>Exit Capitalization Rate</t>
  </si>
  <si>
    <t>5.0% economic allowance applied beginning at stabilization</t>
  </si>
  <si>
    <t>Sale Costs</t>
  </si>
  <si>
    <t>1.5% of gross disposition price</t>
  </si>
  <si>
    <t>Outstanding construction loan balance repaid from disposition proceeds</t>
  </si>
  <si>
    <t>Return Calculation</t>
  </si>
  <si>
    <t>Monthly project cash flows measured using actual dates and XIRR</t>
  </si>
  <si>
    <t>7. JOINT VENTURE AND EQUITY WATERFALL</t>
  </si>
  <si>
    <t>Partnership Structure</t>
  </si>
  <si>
    <t>90% limited partner (LP) / 10% general partner (GP) equity contributions</t>
  </si>
  <si>
    <t>Distribution Method</t>
  </si>
  <si>
    <t>Whole-project waterfall with cumulative return thresholds</t>
  </si>
  <si>
    <t>Preferred Return</t>
  </si>
  <si>
    <t>8.0% annual effective return, calculated using actual dates</t>
  </si>
  <si>
    <t>Tier 1 — Capital and Preferred Return</t>
  </si>
  <si>
    <t>90% LP / 10% GP until required capital and accrued preferred returns are satisfied</t>
  </si>
  <si>
    <t>Tier 2 — GP Catch-Up</t>
  </si>
  <si>
    <t>100% GP distributions until the GP receives 20% of cumulative preferred-return and catch-up profits</t>
  </si>
  <si>
    <t>Tier 3 — First Promote</t>
  </si>
  <si>
    <t>80% LP / 20% GP until the LP achieves a 15% IRR</t>
  </si>
  <si>
    <t>Tier 4 — Second Promote</t>
  </si>
  <si>
    <t>70% LP / 30% GP until the LP achieves a 20% IRR</t>
  </si>
  <si>
    <t>Tier 5 — Residual Promote</t>
  </si>
  <si>
    <t>60% LP / 40% GP on all remaining distributable cash</t>
  </si>
  <si>
    <t>Hurdle Measurement</t>
  </si>
  <si>
    <t>15% and 20% hurdles measured against the LP's cumulative dated cash flows</t>
  </si>
  <si>
    <t>Promote Mechanics</t>
  </si>
  <si>
    <t>Higher-tier distribution splits apply only to incremental cash flow after the applicable hurdle is satisfied</t>
  </si>
  <si>
    <t>Return Metrics</t>
  </si>
  <si>
    <t>LP, GP and partnership IRR, equity multiple and aggregate 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</si>
</sst>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7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&lt;=9999999]###\-####;\(###\)\ ###\-####"/>
    <numFmt numFmtId="165" formatCode="&quot;$&quot;#,##0"/>
    <numFmt numFmtId="166" formatCode="0.0%"/>
    <numFmt numFmtId="167" formatCode="&quot;$&quot;#,##0.00"/>
    <numFmt numFmtId="168" formatCode="\(#,##0\);[Red]\(#,##0\)"/>
    <numFmt numFmtId="169" formatCode="_(&quot;$&quot;* #,##0_);_(&quot;$&quot;* \(#,##0\);_(&quot;$&quot;* &quot;-&quot;??_);_(@_)"/>
    <numFmt numFmtId="170" formatCode="m/d/yyyy\ \ h:mm\ AM/PM"/>
    <numFmt numFmtId="171" formatCode="_([$€-2]* #,##0.00_);_([$€-2]* \(#,##0.00\);_([$€-2]* &quot;-&quot;??_)"/>
    <numFmt numFmtId="172" formatCode="mm/yyyy"/>
    <numFmt numFmtId="173" formatCode="_ * #,##0_ ;_ * \-#,##0_ ;_ * &quot;-&quot;_ ;_ @_ "/>
    <numFmt numFmtId="174" formatCode="_ * #,##0.00_ ;_ * \-#,##0.00_ ;_ * &quot;-&quot;??_ ;_ @_ "/>
    <numFmt numFmtId="175" formatCode="_ &quot;S/&quot;* #,##0_ ;_ &quot;S/&quot;* \-#,##0_ ;_ &quot;S/&quot;* &quot;-&quot;_ ;_ @_ "/>
    <numFmt numFmtId="176" formatCode="_ &quot;S/&quot;* #,##0.00_ ;_ &quot;S/&quot;* \-#,##0.00_ ;_ &quot;S/&quot;* &quot;-&quot;??_ ;_ @_ "/>
    <numFmt numFmtId="177" formatCode="0.00_)"/>
    <numFmt numFmtId="178" formatCode="&quot;$&quot;#,##0.00;[Red]\(&quot;$&quot;#,##0.00\)"/>
    <numFmt numFmtId="179" formatCode="mm/dd/yy_)"/>
    <numFmt numFmtId="180" formatCode="0_)"/>
    <numFmt numFmtId="181" formatCode="#,##0;\(#,##0\)"/>
    <numFmt numFmtId="182" formatCode="mmmm\-yy"/>
    <numFmt numFmtId="183" formatCode="_(* #,##0_);_(* \(#,##0\);_(* &quot;-&quot;??_);_(@_)"/>
    <numFmt numFmtId="184" formatCode="0.0"/>
    <numFmt numFmtId="185" formatCode="&quot;$&quot;#,##0.0"/>
    <numFmt numFmtId="186" formatCode="&quot;Month&quot;\ 00"/>
    <numFmt numFmtId="187" formatCode="#,000\ &quot;SF&quot;"/>
    <numFmt numFmtId="188" formatCode="&quot;Month&quot;\ 0"/>
    <numFmt numFmtId="189" formatCode="_(* #,##0.00_);_(* \(#,##0.00\);_(* &quot;-&quot;_);_(@_)"/>
    <numFmt numFmtId="190" formatCode="0\ &quot;Months&quot;"/>
    <numFmt numFmtId="191" formatCode="0\ &quot;Month&quot;"/>
    <numFmt numFmtId="192" formatCode="&quot;Year&quot;\ 0"/>
    <numFmt numFmtId="193" formatCode="0.00000%"/>
    <numFmt numFmtId="194" formatCode="0\ &quot;bp&quot;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ourier"/>
      <family val="3"/>
    </font>
    <font>
      <sz val="10"/>
      <name val="MS Sans Serif"/>
      <family val="2"/>
    </font>
    <font>
      <sz val="11"/>
      <name val="Times New Roman"/>
      <family val="1"/>
    </font>
    <font>
      <sz val="10"/>
      <name val="Helv"/>
    </font>
    <font>
      <sz val="9"/>
      <name val="Times New Roman"/>
      <family val="1"/>
    </font>
    <font>
      <sz val="1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sz val="12"/>
      <name val="Arial"/>
      <family val="2"/>
    </font>
    <font>
      <sz val="10"/>
      <color indexed="8"/>
      <name val="Times New Roman"/>
      <family val="2"/>
    </font>
    <font>
      <sz val="10"/>
      <color indexed="9"/>
      <name val="Times New Roman"/>
      <family val="2"/>
    </font>
    <font>
      <sz val="9"/>
      <name val="Tahoma"/>
      <family val="2"/>
    </font>
    <font>
      <sz val="10"/>
      <color indexed="20"/>
      <name val="Times New Roman"/>
      <family val="2"/>
    </font>
    <font>
      <b/>
      <sz val="10"/>
      <color indexed="52"/>
      <name val="Times New Roman"/>
      <family val="2"/>
    </font>
    <font>
      <b/>
      <sz val="10"/>
      <color indexed="9"/>
      <name val="Times New Roman"/>
      <family val="2"/>
    </font>
    <font>
      <b/>
      <sz val="9"/>
      <name val="Tahoma"/>
      <family val="2"/>
    </font>
    <font>
      <sz val="10"/>
      <name val="BERNHARD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i/>
      <sz val="10"/>
      <color indexed="23"/>
      <name val="Times New Roman"/>
      <family val="2"/>
    </font>
    <font>
      <sz val="10"/>
      <color indexed="17"/>
      <name val="Times New Roman"/>
      <family val="2"/>
    </font>
    <font>
      <b/>
      <sz val="10"/>
      <name val="Tahoma"/>
      <family val="2"/>
    </font>
    <font>
      <sz val="8"/>
      <name val="Arial"/>
      <family val="2"/>
    </font>
    <font>
      <u/>
      <sz val="12"/>
      <name val="Tahoma"/>
      <family val="2"/>
    </font>
    <font>
      <i/>
      <u/>
      <sz val="11"/>
      <name val="Tahoma"/>
      <family val="2"/>
    </font>
    <font>
      <u/>
      <sz val="11"/>
      <name val="Tahoma"/>
      <family val="2"/>
    </font>
    <font>
      <i/>
      <u/>
      <sz val="10"/>
      <name val="Tahoma"/>
      <family val="2"/>
    </font>
    <font>
      <u/>
      <sz val="10"/>
      <name val="Tahoma"/>
      <family val="2"/>
    </font>
    <font>
      <i/>
      <u/>
      <sz val="9"/>
      <name val="Tahoma"/>
      <family val="2"/>
    </font>
    <font>
      <u/>
      <sz val="9"/>
      <name val="Tahoma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0"/>
      <color indexed="62"/>
      <name val="Times New Roman"/>
      <family val="2"/>
    </font>
    <font>
      <sz val="10"/>
      <color indexed="52"/>
      <name val="Times New Roman"/>
      <family val="2"/>
    </font>
    <font>
      <sz val="10"/>
      <color indexed="60"/>
      <name val="Times New Roman"/>
      <family val="2"/>
    </font>
    <font>
      <sz val="7"/>
      <name val="Small Fonts"/>
      <family val="2"/>
    </font>
    <font>
      <b/>
      <i/>
      <sz val="16"/>
      <name val="Helv"/>
    </font>
    <font>
      <sz val="10"/>
      <color theme="1"/>
      <name val="Times New Roman"/>
      <family val="2"/>
    </font>
    <font>
      <sz val="10"/>
      <name val="Arial Narrow"/>
      <family val="2"/>
    </font>
    <font>
      <sz val="12"/>
      <name val="Times New Roman"/>
      <family val="1"/>
    </font>
    <font>
      <b/>
      <sz val="10"/>
      <color indexed="63"/>
      <name val="Times New Roman"/>
      <family val="2"/>
    </font>
    <font>
      <sz val="8"/>
      <name val="Helv"/>
    </font>
    <font>
      <b/>
      <u/>
      <sz val="10"/>
      <name val="Tahoma"/>
      <family val="2"/>
    </font>
    <font>
      <b/>
      <sz val="18"/>
      <color indexed="56"/>
      <name val="Cambria"/>
      <family val="2"/>
    </font>
    <font>
      <b/>
      <sz val="11"/>
      <name val="Tahoma"/>
      <family val="2"/>
    </font>
    <font>
      <b/>
      <sz val="10"/>
      <color indexed="8"/>
      <name val="Times New Roman"/>
      <family val="2"/>
    </font>
    <font>
      <sz val="12"/>
      <name val="Tahoma"/>
      <family val="2"/>
    </font>
    <font>
      <i/>
      <sz val="11"/>
      <name val="Tahoma"/>
      <family val="2"/>
    </font>
    <font>
      <sz val="11"/>
      <name val="Tahoma"/>
      <family val="2"/>
    </font>
    <font>
      <i/>
      <sz val="10"/>
      <name val="Tahoma"/>
      <family val="2"/>
    </font>
    <font>
      <sz val="10"/>
      <name val="Tahoma"/>
      <family val="2"/>
    </font>
    <font>
      <i/>
      <sz val="9"/>
      <name val="Tahoma"/>
      <family val="2"/>
    </font>
    <font>
      <sz val="10"/>
      <color indexed="10"/>
      <name val="Times New Roman"/>
      <family val="2"/>
    </font>
    <font>
      <sz val="10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 val="singleAccounting"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name val="Calibri"/>
      <family val="2"/>
      <scheme val="minor"/>
    </font>
    <font>
      <u/>
      <sz val="11"/>
      <color theme="0"/>
      <name val="Calibri"/>
      <family val="2"/>
      <scheme val="minor"/>
    </font>
    <font>
      <i/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CC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hair">
        <color indexed="2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1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37" fontId="3" fillId="0" borderId="0"/>
    <xf numFmtId="0" fontId="3" fillId="0" borderId="0"/>
    <xf numFmtId="0" fontId="7" fillId="2" borderId="2" applyNumberFormat="0" applyFill="0" applyBorder="0" applyProtection="0">
      <alignment horizontal="left"/>
      <protection locked="0"/>
    </xf>
    <xf numFmtId="37" fontId="7" fillId="0" borderId="0"/>
    <xf numFmtId="168" fontId="7" fillId="0" borderId="0" applyFill="0" applyBorder="0">
      <protection locked="0"/>
    </xf>
    <xf numFmtId="37" fontId="7" fillId="3" borderId="3"/>
    <xf numFmtId="40" fontId="4" fillId="0" borderId="0" applyFont="0" applyFill="0" applyBorder="0" applyAlignment="0" applyProtection="0"/>
    <xf numFmtId="4" fontId="6" fillId="0" borderId="0" applyFont="0" applyFill="0" applyBorder="0" applyAlignment="0" applyProtection="0"/>
    <xf numFmtId="8" fontId="4" fillId="0" borderId="0" applyFont="0" applyFill="0" applyBorder="0" applyAlignment="0" applyProtection="0"/>
    <xf numFmtId="8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8" fontId="7" fillId="3" borderId="0"/>
    <xf numFmtId="37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7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14" fontId="16" fillId="0" borderId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21" borderId="0" applyNumberFormat="0" applyBorder="0" applyAlignment="0" applyProtection="0"/>
    <xf numFmtId="39" fontId="10" fillId="0" borderId="0" applyFill="0" applyBorder="0" applyAlignment="0" applyProtection="0"/>
    <xf numFmtId="0" fontId="17" fillId="5" borderId="0" applyNumberFormat="0" applyBorder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9" fillId="23" borderId="7" applyNumberFormat="0" applyAlignment="0" applyProtection="0"/>
    <xf numFmtId="0" fontId="19" fillId="23" borderId="7" applyNumberFormat="0" applyAlignment="0" applyProtection="0"/>
    <xf numFmtId="0" fontId="20" fillId="24" borderId="0" applyNumberFormat="0">
      <alignment horizontal="center"/>
    </xf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1" fillId="0" borderId="0"/>
    <xf numFmtId="0" fontId="6" fillId="0" borderId="0"/>
    <xf numFmtId="0" fontId="21" fillId="0" borderId="0"/>
    <xf numFmtId="0" fontId="6" fillId="0" borderId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8" fillId="0" borderId="0" applyFont="0" applyFill="0" applyBorder="0" applyAlignment="0" applyProtection="0"/>
    <xf numFmtId="7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39" fontId="16" fillId="0" borderId="0">
      <alignment horizontal="right"/>
    </xf>
    <xf numFmtId="170" fontId="10" fillId="0" borderId="0" applyFill="0" applyProtection="0">
      <alignment vertical="center"/>
    </xf>
    <xf numFmtId="0" fontId="22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171" fontId="8" fillId="0" borderId="0" applyFont="0" applyFill="0" applyBorder="0" applyAlignment="0" applyProtection="0"/>
    <xf numFmtId="0" fontId="8" fillId="0" borderId="8" applyNumberFormat="0" applyFont="0" applyFill="0" applyAlignment="0" applyProtection="0"/>
    <xf numFmtId="0" fontId="24" fillId="0" borderId="0" applyNumberFormat="0" applyFill="0" applyBorder="0" applyAlignment="0" applyProtection="0"/>
    <xf numFmtId="166" fontId="16" fillId="0" borderId="0" applyBorder="0"/>
    <xf numFmtId="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25" fillId="6" borderId="0" applyNumberFormat="0" applyBorder="0" applyAlignment="0" applyProtection="0"/>
    <xf numFmtId="0" fontId="26" fillId="0" borderId="0">
      <alignment horizontal="left" indent="2"/>
    </xf>
    <xf numFmtId="38" fontId="27" fillId="3" borderId="0" applyNumberFormat="0" applyBorder="0" applyAlignment="0" applyProtection="0"/>
    <xf numFmtId="38" fontId="27" fillId="3" borderId="0" applyNumberFormat="0" applyBorder="0" applyAlignment="0" applyProtection="0"/>
    <xf numFmtId="0" fontId="8" fillId="0" borderId="0"/>
    <xf numFmtId="0" fontId="28" fillId="0" borderId="0" applyNumberFormat="0" applyFill="0" applyBorder="0" applyAlignment="0" applyProtection="0">
      <alignment horizontal="left"/>
    </xf>
    <xf numFmtId="0" fontId="29" fillId="0" borderId="0" applyNumberFormat="0" applyFill="0" applyBorder="0" applyAlignment="0" applyProtection="0">
      <alignment horizontal="left"/>
    </xf>
    <xf numFmtId="0" fontId="30" fillId="0" borderId="0" applyNumberFormat="0" applyFill="0" applyBorder="0" applyAlignment="0" applyProtection="0">
      <alignment horizontal="left"/>
    </xf>
    <xf numFmtId="0" fontId="31" fillId="0" borderId="0" applyNumberFormat="0" applyFill="0" applyBorder="0" applyAlignment="0" applyProtection="0">
      <alignment horizontal="left"/>
    </xf>
    <xf numFmtId="0" fontId="32" fillId="0" borderId="0" applyNumberFormat="0" applyFill="0" applyAlignment="0" applyProtection="0">
      <alignment horizontal="left"/>
    </xf>
    <xf numFmtId="0" fontId="31" fillId="0" borderId="0" applyNumberFormat="0" applyFill="0" applyBorder="0" applyAlignment="0" applyProtection="0">
      <alignment horizontal="left"/>
    </xf>
    <xf numFmtId="0" fontId="32" fillId="0" borderId="0" applyNumberFormat="0" applyFill="0" applyBorder="0" applyAlignment="0" applyProtection="0">
      <alignment horizontal="left"/>
    </xf>
    <xf numFmtId="0" fontId="33" fillId="0" borderId="0" applyNumberFormat="0" applyFill="0" applyBorder="0" applyAlignment="0" applyProtection="0">
      <alignment horizontal="left"/>
    </xf>
    <xf numFmtId="0" fontId="34" fillId="0" borderId="0" applyNumberFormat="0" applyFill="0" applyBorder="0" applyAlignment="0" applyProtection="0">
      <alignment horizontal="left"/>
    </xf>
    <xf numFmtId="0" fontId="11" fillId="0" borderId="9" applyNumberFormat="0" applyAlignment="0" applyProtection="0">
      <alignment horizontal="left" vertical="center"/>
    </xf>
    <xf numFmtId="0" fontId="11" fillId="0" borderId="9" applyNumberFormat="0" applyAlignment="0" applyProtection="0">
      <alignment horizontal="left" vertical="center"/>
    </xf>
    <xf numFmtId="0" fontId="11" fillId="0" borderId="9" applyNumberFormat="0" applyAlignment="0" applyProtection="0">
      <alignment horizontal="left" vertical="center"/>
    </xf>
    <xf numFmtId="0" fontId="11" fillId="0" borderId="10">
      <alignment horizontal="left" vertical="center"/>
    </xf>
    <xf numFmtId="0" fontId="11" fillId="0" borderId="10">
      <alignment horizontal="left" vertical="center"/>
    </xf>
    <xf numFmtId="0" fontId="11" fillId="0" borderId="10">
      <alignment horizontal="left" vertical="center"/>
    </xf>
    <xf numFmtId="0" fontId="11" fillId="0" borderId="10">
      <alignment horizontal="left" vertical="center"/>
    </xf>
    <xf numFmtId="0" fontId="35" fillId="0" borderId="11" applyNumberFormat="0" applyFill="0" applyAlignment="0" applyProtection="0"/>
    <xf numFmtId="0" fontId="36" fillId="0" borderId="12" applyNumberFormat="0" applyFill="0" applyAlignment="0" applyProtection="0"/>
    <xf numFmtId="0" fontId="37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8" fillId="24" borderId="5" applyNumberFormat="0" applyFont="0" applyBorder="0" applyAlignment="0" applyProtection="0"/>
    <xf numFmtId="0" fontId="8" fillId="24" borderId="5" applyNumberFormat="0" applyFont="0" applyBorder="0" applyAlignment="0" applyProtection="0"/>
    <xf numFmtId="37" fontId="16" fillId="0" borderId="0" applyBorder="0"/>
    <xf numFmtId="10" fontId="27" fillId="25" borderId="14" applyNumberFormat="0" applyBorder="0" applyAlignment="0" applyProtection="0"/>
    <xf numFmtId="10" fontId="27" fillId="25" borderId="14" applyNumberFormat="0" applyBorder="0" applyAlignment="0" applyProtection="0"/>
    <xf numFmtId="10" fontId="27" fillId="25" borderId="14" applyNumberFormat="0" applyBorder="0" applyAlignment="0" applyProtection="0"/>
    <xf numFmtId="10" fontId="27" fillId="25" borderId="14" applyNumberFormat="0" applyBorder="0" applyAlignment="0" applyProtection="0"/>
    <xf numFmtId="10" fontId="27" fillId="25" borderId="14" applyNumberFormat="0" applyBorder="0" applyAlignment="0" applyProtection="0"/>
    <xf numFmtId="10" fontId="27" fillId="25" borderId="14" applyNumberFormat="0" applyBorder="0" applyAlignment="0" applyProtection="0"/>
    <xf numFmtId="10" fontId="27" fillId="25" borderId="14" applyNumberFormat="0" applyBorder="0" applyAlignment="0" applyProtection="0"/>
    <xf numFmtId="0" fontId="38" fillId="9" borderId="6" applyNumberFormat="0" applyAlignment="0" applyProtection="0"/>
    <xf numFmtId="0" fontId="38" fillId="9" borderId="6" applyNumberFormat="0" applyAlignment="0" applyProtection="0"/>
    <xf numFmtId="0" fontId="38" fillId="9" borderId="6" applyNumberFormat="0" applyAlignment="0" applyProtection="0"/>
    <xf numFmtId="0" fontId="38" fillId="9" borderId="6" applyNumberFormat="0" applyAlignment="0" applyProtection="0"/>
    <xf numFmtId="0" fontId="38" fillId="9" borderId="6" applyNumberFormat="0" applyAlignment="0" applyProtection="0"/>
    <xf numFmtId="0" fontId="38" fillId="9" borderId="6" applyNumberFormat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172" fontId="16" fillId="0" borderId="0"/>
    <xf numFmtId="173" fontId="8" fillId="0" borderId="0" applyFont="0" applyFill="0" applyBorder="0" applyAlignment="0" applyProtection="0"/>
    <xf numFmtId="174" fontId="8" fillId="0" borderId="0" applyFont="0" applyFill="0" applyBorder="0" applyAlignment="0" applyProtection="0"/>
    <xf numFmtId="175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0" fontId="22" fillId="0" borderId="0">
      <protection locked="0"/>
    </xf>
    <xf numFmtId="0" fontId="40" fillId="26" borderId="0" applyNumberFormat="0" applyBorder="0" applyAlignment="0" applyProtection="0"/>
    <xf numFmtId="37" fontId="41" fillId="0" borderId="0"/>
    <xf numFmtId="177" fontId="42" fillId="0" borderId="0"/>
    <xf numFmtId="0" fontId="9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9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9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9" fillId="0" borderId="0"/>
    <xf numFmtId="0" fontId="9" fillId="0" borderId="0"/>
    <xf numFmtId="0" fontId="1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9" fillId="0" borderId="0"/>
    <xf numFmtId="0" fontId="9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9" fillId="0" borderId="0"/>
    <xf numFmtId="0" fontId="9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9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9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9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9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178" fontId="12" fillId="0" borderId="0"/>
    <xf numFmtId="0" fontId="9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9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9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9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9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9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9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9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9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9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79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44" fillId="0" borderId="0"/>
    <xf numFmtId="0" fontId="9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9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9" fillId="0" borderId="0"/>
    <xf numFmtId="0" fontId="9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9" fillId="0" borderId="0"/>
    <xf numFmtId="0" fontId="9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9" fillId="0" borderId="0"/>
    <xf numFmtId="0" fontId="9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9" fillId="0" borderId="0"/>
    <xf numFmtId="0" fontId="9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9" fillId="0" borderId="0"/>
    <xf numFmtId="0" fontId="9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9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9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1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9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8" fillId="0" borderId="0"/>
    <xf numFmtId="0" fontId="8" fillId="0" borderId="0"/>
    <xf numFmtId="0" fontId="8" fillId="0" borderId="0"/>
    <xf numFmtId="179" fontId="44" fillId="0" borderId="0"/>
    <xf numFmtId="0" fontId="9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9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9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9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9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8" fillId="0" borderId="0"/>
    <xf numFmtId="0" fontId="43" fillId="0" borderId="0"/>
    <xf numFmtId="0" fontId="1" fillId="0" borderId="0"/>
    <xf numFmtId="0" fontId="8" fillId="0" borderId="0"/>
    <xf numFmtId="0" fontId="8" fillId="0" borderId="0"/>
    <xf numFmtId="37" fontId="5" fillId="0" borderId="0"/>
    <xf numFmtId="37" fontId="5" fillId="0" borderId="0"/>
    <xf numFmtId="37" fontId="5" fillId="0" borderId="0"/>
    <xf numFmtId="37" fontId="5" fillId="0" borderId="0"/>
    <xf numFmtId="37" fontId="5" fillId="0" borderId="0"/>
    <xf numFmtId="37" fontId="5" fillId="0" borderId="0"/>
    <xf numFmtId="37" fontId="5" fillId="0" borderId="0"/>
    <xf numFmtId="37" fontId="5" fillId="0" borderId="0"/>
    <xf numFmtId="0" fontId="43" fillId="0" borderId="0"/>
    <xf numFmtId="0" fontId="1" fillId="0" borderId="0"/>
    <xf numFmtId="37" fontId="5" fillId="0" borderId="0"/>
    <xf numFmtId="37" fontId="5" fillId="0" borderId="0"/>
    <xf numFmtId="37" fontId="5" fillId="0" borderId="0"/>
    <xf numFmtId="0" fontId="13" fillId="0" borderId="0"/>
    <xf numFmtId="0" fontId="13" fillId="0" borderId="0"/>
    <xf numFmtId="0" fontId="13" fillId="0" borderId="0"/>
    <xf numFmtId="0" fontId="43" fillId="0" borderId="0"/>
    <xf numFmtId="0" fontId="4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37" fontId="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81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5" fillId="0" borderId="0"/>
    <xf numFmtId="0" fontId="8" fillId="0" borderId="0"/>
    <xf numFmtId="0" fontId="4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8" fillId="0" borderId="0"/>
    <xf numFmtId="0" fontId="8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8" fillId="27" borderId="16" applyNumberFormat="0" applyFont="0" applyAlignment="0" applyProtection="0"/>
    <xf numFmtId="0" fontId="8" fillId="27" borderId="16" applyNumberFormat="0" applyFont="0" applyAlignment="0" applyProtection="0"/>
    <xf numFmtId="0" fontId="8" fillId="27" borderId="16" applyNumberFormat="0" applyFont="0" applyAlignment="0" applyProtection="0"/>
    <xf numFmtId="0" fontId="8" fillId="0" borderId="8" applyNumberFormat="0" applyFont="0" applyFill="0" applyAlignment="0" applyProtection="0"/>
    <xf numFmtId="0" fontId="46" fillId="22" borderId="17" applyNumberFormat="0" applyAlignment="0" applyProtection="0"/>
    <xf numFmtId="0" fontId="46" fillId="22" borderId="17" applyNumberFormat="0" applyAlignment="0" applyProtection="0"/>
    <xf numFmtId="0" fontId="46" fillId="22" borderId="17" applyNumberFormat="0" applyAlignment="0" applyProtection="0"/>
    <xf numFmtId="0" fontId="8" fillId="0" borderId="2" applyNumberFormat="0" applyFont="0" applyFill="0" applyAlignment="0" applyProtection="0"/>
    <xf numFmtId="0" fontId="8" fillId="0" borderId="2" applyNumberFormat="0" applyFont="0" applyFill="0" applyAlignment="0" applyProtection="0"/>
    <xf numFmtId="0" fontId="8" fillId="0" borderId="3" applyNumberFormat="0" applyFont="0" applyFill="0" applyAlignment="0" applyProtection="0"/>
    <xf numFmtId="0" fontId="8" fillId="0" borderId="3" applyNumberFormat="0" applyFont="0" applyFill="0" applyAlignment="0" applyProtection="0"/>
    <xf numFmtId="0" fontId="8" fillId="0" borderId="3" applyNumberFormat="0" applyFont="0" applyFill="0" applyAlignment="0" applyProtection="0"/>
    <xf numFmtId="0" fontId="8" fillId="0" borderId="3" applyNumberFormat="0" applyFont="0" applyFill="0" applyAlignment="0" applyProtection="0"/>
    <xf numFmtId="164" fontId="16" fillId="0" borderId="4" applyBorder="0"/>
    <xf numFmtId="164" fontId="16" fillId="0" borderId="4" applyBorder="0"/>
    <xf numFmtId="10" fontId="8" fillId="0" borderId="0" applyFont="0" applyFill="0" applyBorder="0" applyAlignment="0" applyProtection="0"/>
    <xf numFmtId="10" fontId="8" fillId="0" borderId="0" applyFont="0" applyFill="0" applyBorder="0" applyAlignment="0" applyProtection="0"/>
    <xf numFmtId="10" fontId="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2" fillId="0" borderId="0">
      <protection locked="0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38" fontId="47" fillId="0" borderId="0"/>
    <xf numFmtId="0" fontId="8" fillId="24" borderId="0" applyNumberFormat="0" applyBorder="0" applyProtection="0">
      <alignment horizont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48" fillId="0" borderId="0">
      <alignment horizontal="left"/>
    </xf>
    <xf numFmtId="0" fontId="20" fillId="0" borderId="0">
      <alignment horizontal="left" indent="1"/>
    </xf>
    <xf numFmtId="49" fontId="16" fillId="0" borderId="0"/>
    <xf numFmtId="18" fontId="16" fillId="0" borderId="0" applyFill="0" applyProtection="0">
      <alignment horizontal="center"/>
    </xf>
    <xf numFmtId="0" fontId="49" fillId="0" borderId="0" applyNumberFormat="0" applyFill="0" applyBorder="0" applyAlignment="0" applyProtection="0"/>
    <xf numFmtId="0" fontId="50" fillId="0" borderId="0">
      <alignment horizontal="center"/>
    </xf>
    <xf numFmtId="182" fontId="26" fillId="0" borderId="0">
      <alignment horizontal="center"/>
    </xf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2" fillId="0" borderId="0" applyNumberFormat="0" applyFill="0" applyBorder="0" applyAlignment="0" applyProtection="0">
      <alignment horizontal="left"/>
    </xf>
    <xf numFmtId="0" fontId="53" fillId="0" borderId="0" applyNumberFormat="0" applyFill="0" applyBorder="0" applyAlignment="0" applyProtection="0">
      <alignment horizontal="left"/>
    </xf>
    <xf numFmtId="0" fontId="54" fillId="0" borderId="0" applyNumberFormat="0" applyFill="0" applyBorder="0" applyAlignment="0" applyProtection="0">
      <alignment horizontal="left"/>
    </xf>
    <xf numFmtId="0" fontId="55" fillId="0" borderId="0" applyNumberFormat="0" applyFill="0" applyBorder="0" applyAlignment="0" applyProtection="0">
      <alignment horizontal="left"/>
    </xf>
    <xf numFmtId="0" fontId="56" fillId="0" borderId="0" applyNumberFormat="0" applyFill="0" applyBorder="0" applyAlignment="0" applyProtection="0">
      <alignment horizontal="left"/>
    </xf>
    <xf numFmtId="0" fontId="55" fillId="0" borderId="0" applyNumberFormat="0" applyFill="0" applyBorder="0" applyAlignment="0" applyProtection="0">
      <alignment horizontal="left"/>
    </xf>
    <xf numFmtId="0" fontId="56" fillId="0" borderId="0" applyNumberFormat="0" applyFill="0" applyBorder="0" applyAlignment="0" applyProtection="0">
      <alignment horizontal="left"/>
    </xf>
    <xf numFmtId="0" fontId="57" fillId="0" borderId="0">
      <alignment horizontal="left"/>
    </xf>
    <xf numFmtId="0" fontId="16" fillId="0" borderId="0" applyNumberFormat="0" applyFill="0" applyBorder="0" applyAlignment="0" applyProtection="0">
      <alignment horizontal="left"/>
    </xf>
    <xf numFmtId="0" fontId="8" fillId="24" borderId="0" applyNumberFormat="0" applyFont="0" applyBorder="0" applyAlignment="0" applyProtection="0"/>
    <xf numFmtId="0" fontId="8" fillId="0" borderId="4" applyNumberFormat="0" applyFont="0" applyFill="0" applyAlignment="0" applyProtection="0"/>
    <xf numFmtId="0" fontId="8" fillId="0" borderId="4" applyNumberFormat="0" applyFont="0" applyFill="0" applyAlignment="0" applyProtection="0"/>
    <xf numFmtId="0" fontId="58" fillId="0" borderId="0" applyNumberFormat="0" applyFill="0" applyBorder="0" applyAlignment="0" applyProtection="0"/>
    <xf numFmtId="0" fontId="1" fillId="0" borderId="0"/>
    <xf numFmtId="0" fontId="11" fillId="0" borderId="19">
      <alignment horizontal="left" vertical="center"/>
    </xf>
    <xf numFmtId="0" fontId="11" fillId="0" borderId="19">
      <alignment horizontal="left" vertical="center"/>
    </xf>
    <xf numFmtId="0" fontId="11" fillId="0" borderId="19">
      <alignment horizontal="left" vertical="center"/>
    </xf>
    <xf numFmtId="0" fontId="11" fillId="0" borderId="19">
      <alignment horizontal="left" vertical="center"/>
    </xf>
    <xf numFmtId="0" fontId="8" fillId="27" borderId="21" applyNumberFormat="0" applyFont="0" applyAlignment="0" applyProtection="0"/>
    <xf numFmtId="0" fontId="8" fillId="27" borderId="21" applyNumberFormat="0" applyFont="0" applyAlignment="0" applyProtection="0"/>
    <xf numFmtId="0" fontId="8" fillId="27" borderId="21" applyNumberFormat="0" applyFont="0" applyAlignment="0" applyProtection="0"/>
    <xf numFmtId="0" fontId="46" fillId="22" borderId="22" applyNumberFormat="0" applyAlignment="0" applyProtection="0"/>
    <xf numFmtId="0" fontId="46" fillId="22" borderId="22" applyNumberFormat="0" applyAlignment="0" applyProtection="0"/>
    <xf numFmtId="0" fontId="46" fillId="22" borderId="22" applyNumberFormat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9" fillId="0" borderId="0"/>
    <xf numFmtId="0" fontId="59" fillId="0" borderId="0"/>
    <xf numFmtId="0" fontId="59" fillId="28" borderId="20" applyNumberFormat="0" applyFont="0" applyAlignment="0" applyProtection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</cellStyleXfs>
  <cellXfs count="175">
    <xf numFmtId="0" fontId="0" fillId="0" borderId="0" xfId="0"/>
    <xf numFmtId="0" fontId="60" fillId="0" borderId="0" xfId="0" applyFont="1"/>
    <xf numFmtId="169" fontId="0" fillId="0" borderId="0" xfId="2" applyNumberFormat="1" applyFont="1"/>
    <xf numFmtId="9" fontId="0" fillId="0" borderId="0" xfId="3" applyFont="1"/>
    <xf numFmtId="165" fontId="60" fillId="0" borderId="0" xfId="0" applyNumberFormat="1" applyFont="1"/>
    <xf numFmtId="166" fontId="0" fillId="0" borderId="0" xfId="3" applyNumberFormat="1" applyFont="1"/>
    <xf numFmtId="10" fontId="0" fillId="0" borderId="0" xfId="3" applyNumberFormat="1" applyFont="1"/>
    <xf numFmtId="9" fontId="61" fillId="0" borderId="0" xfId="3" applyFont="1"/>
    <xf numFmtId="183" fontId="0" fillId="0" borderId="0" xfId="1" applyNumberFormat="1" applyFont="1"/>
    <xf numFmtId="14" fontId="0" fillId="0" borderId="0" xfId="0" applyNumberFormat="1"/>
    <xf numFmtId="0" fontId="60" fillId="0" borderId="0" xfId="0" applyFont="1" applyAlignment="1">
      <alignment horizontal="right"/>
    </xf>
    <xf numFmtId="165" fontId="64" fillId="0" borderId="0" xfId="0" applyNumberFormat="1" applyFont="1"/>
    <xf numFmtId="193" fontId="0" fillId="0" borderId="0" xfId="0" applyNumberFormat="1"/>
    <xf numFmtId="183" fontId="65" fillId="0" borderId="0" xfId="0" applyNumberFormat="1" applyFont="1"/>
    <xf numFmtId="41" fontId="65" fillId="0" borderId="0" xfId="0" applyNumberFormat="1" applyFont="1"/>
    <xf numFmtId="183" fontId="65" fillId="0" borderId="24" xfId="0" applyNumberFormat="1" applyFont="1" applyBorder="1"/>
    <xf numFmtId="166" fontId="0" fillId="0" borderId="24" xfId="3" applyNumberFormat="1" applyFont="1" applyBorder="1"/>
    <xf numFmtId="0" fontId="64" fillId="0" borderId="24" xfId="0" applyFont="1" applyBorder="1" applyAlignment="1">
      <alignment horizontal="right"/>
    </xf>
    <xf numFmtId="10" fontId="61" fillId="0" borderId="24" xfId="3" applyNumberFormat="1" applyFont="1" applyBorder="1"/>
    <xf numFmtId="0" fontId="60" fillId="0" borderId="24" xfId="0" applyFont="1" applyBorder="1" applyAlignment="1">
      <alignment horizontal="right"/>
    </xf>
    <xf numFmtId="165" fontId="64" fillId="0" borderId="24" xfId="0" applyNumberFormat="1" applyFont="1" applyBorder="1"/>
    <xf numFmtId="165" fontId="60" fillId="0" borderId="24" xfId="0" applyNumberFormat="1" applyFont="1" applyBorder="1"/>
    <xf numFmtId="186" fontId="2" fillId="0" borderId="0" xfId="0" applyNumberFormat="1" applyFont="1"/>
    <xf numFmtId="187" fontId="61" fillId="0" borderId="0" xfId="0" applyNumberFormat="1" applyFont="1"/>
    <xf numFmtId="189" fontId="2" fillId="0" borderId="0" xfId="0" applyNumberFormat="1" applyFont="1" applyAlignment="1">
      <alignment horizontal="right"/>
    </xf>
    <xf numFmtId="189" fontId="61" fillId="0" borderId="0" xfId="0" applyNumberFormat="1" applyFont="1" applyAlignment="1">
      <alignment horizontal="right"/>
    </xf>
    <xf numFmtId="0" fontId="60" fillId="0" borderId="28" xfId="0" applyFont="1" applyBorder="1"/>
    <xf numFmtId="9" fontId="61" fillId="0" borderId="0" xfId="0" applyNumberFormat="1" applyFont="1"/>
    <xf numFmtId="167" fontId="61" fillId="0" borderId="0" xfId="0" applyNumberFormat="1" applyFont="1"/>
    <xf numFmtId="10" fontId="61" fillId="0" borderId="0" xfId="3" applyNumberFormat="1" applyFont="1" applyBorder="1"/>
    <xf numFmtId="188" fontId="65" fillId="0" borderId="0" xfId="0" applyNumberFormat="1" applyFont="1"/>
    <xf numFmtId="167" fontId="65" fillId="0" borderId="0" xfId="0" applyNumberFormat="1" applyFont="1"/>
    <xf numFmtId="10" fontId="65" fillId="0" borderId="0" xfId="0" applyNumberFormat="1" applyFont="1"/>
    <xf numFmtId="9" fontId="0" fillId="0" borderId="0" xfId="3" applyFont="1" applyBorder="1"/>
    <xf numFmtId="167" fontId="64" fillId="0" borderId="0" xfId="0" applyNumberFormat="1" applyFont="1"/>
    <xf numFmtId="0" fontId="64" fillId="0" borderId="0" xfId="0" applyFont="1" applyAlignment="1">
      <alignment horizontal="right"/>
    </xf>
    <xf numFmtId="167" fontId="66" fillId="0" borderId="0" xfId="0" applyNumberFormat="1" applyFont="1"/>
    <xf numFmtId="0" fontId="60" fillId="0" borderId="28" xfId="0" applyFont="1" applyBorder="1" applyAlignment="1">
      <alignment horizontal="left"/>
    </xf>
    <xf numFmtId="167" fontId="62" fillId="0" borderId="0" xfId="0" applyNumberFormat="1" applyFont="1"/>
    <xf numFmtId="167" fontId="2" fillId="0" borderId="0" xfId="0" applyNumberFormat="1" applyFont="1"/>
    <xf numFmtId="43" fontId="65" fillId="0" borderId="0" xfId="0" applyNumberFormat="1" applyFont="1"/>
    <xf numFmtId="188" fontId="61" fillId="0" borderId="0" xfId="0" applyNumberFormat="1" applyFont="1" applyAlignment="1">
      <alignment horizontal="right"/>
    </xf>
    <xf numFmtId="10" fontId="61" fillId="0" borderId="0" xfId="3" applyNumberFormat="1" applyFont="1" applyBorder="1" applyAlignment="1">
      <alignment horizontal="right"/>
    </xf>
    <xf numFmtId="10" fontId="0" fillId="0" borderId="24" xfId="3" applyNumberFormat="1" applyFont="1" applyBorder="1"/>
    <xf numFmtId="183" fontId="2" fillId="0" borderId="0" xfId="1" applyNumberFormat="1" applyFont="1" applyBorder="1"/>
    <xf numFmtId="183" fontId="67" fillId="0" borderId="0" xfId="1" applyNumberFormat="1" applyFont="1" applyBorder="1"/>
    <xf numFmtId="9" fontId="0" fillId="0" borderId="0" xfId="3" applyFont="1" applyAlignment="1">
      <alignment horizontal="right"/>
    </xf>
    <xf numFmtId="9" fontId="61" fillId="0" borderId="0" xfId="0" applyNumberFormat="1" applyFont="1" applyAlignment="1">
      <alignment horizontal="right"/>
    </xf>
    <xf numFmtId="9" fontId="61" fillId="0" borderId="28" xfId="0" applyNumberFormat="1" applyFont="1" applyBorder="1" applyAlignment="1">
      <alignment horizontal="left"/>
    </xf>
    <xf numFmtId="9" fontId="61" fillId="0" borderId="28" xfId="3" applyFont="1" applyBorder="1" applyAlignment="1">
      <alignment horizontal="left"/>
    </xf>
    <xf numFmtId="9" fontId="68" fillId="0" borderId="0" xfId="3" applyFont="1"/>
    <xf numFmtId="10" fontId="64" fillId="0" borderId="0" xfId="3" applyNumberFormat="1" applyFont="1"/>
    <xf numFmtId="0" fontId="60" fillId="29" borderId="30" xfId="0" applyFont="1" applyFill="1" applyBorder="1"/>
    <xf numFmtId="0" fontId="60" fillId="29" borderId="10" xfId="0" applyFont="1" applyFill="1" applyBorder="1"/>
    <xf numFmtId="0" fontId="60" fillId="29" borderId="31" xfId="0" applyFont="1" applyFill="1" applyBorder="1"/>
    <xf numFmtId="183" fontId="0" fillId="0" borderId="24" xfId="1" applyNumberFormat="1" applyFont="1" applyBorder="1" applyAlignment="1">
      <alignment horizontal="right"/>
    </xf>
    <xf numFmtId="183" fontId="0" fillId="0" borderId="24" xfId="1" applyNumberFormat="1" applyFont="1" applyBorder="1" applyAlignment="1"/>
    <xf numFmtId="9" fontId="0" fillId="0" borderId="25" xfId="3" applyFont="1" applyBorder="1"/>
    <xf numFmtId="0" fontId="61" fillId="0" borderId="0" xfId="0" applyFont="1" applyAlignment="1">
      <alignment horizontal="right"/>
    </xf>
    <xf numFmtId="9" fontId="66" fillId="0" borderId="0" xfId="3" applyFont="1" applyAlignment="1">
      <alignment horizontal="right"/>
    </xf>
    <xf numFmtId="9" fontId="0" fillId="0" borderId="0" xfId="3" applyFont="1" applyFill="1"/>
    <xf numFmtId="0" fontId="64" fillId="0" borderId="0" xfId="0" applyFont="1"/>
    <xf numFmtId="0" fontId="64" fillId="0" borderId="0" xfId="0" applyFont="1" applyAlignment="1">
      <alignment vertical="center" wrapText="1"/>
    </xf>
    <xf numFmtId="0" fontId="2" fillId="0" borderId="0" xfId="0" applyFont="1"/>
    <xf numFmtId="0" fontId="68" fillId="0" borderId="0" xfId="0" applyFont="1"/>
    <xf numFmtId="0" fontId="68" fillId="0" borderId="0" xfId="0" applyFont="1" applyAlignment="1">
      <alignment vertical="center" wrapText="1"/>
    </xf>
    <xf numFmtId="6" fontId="60" fillId="0" borderId="0" xfId="0" applyNumberFormat="1" applyFont="1" applyAlignment="1">
      <alignment horizontal="left"/>
    </xf>
    <xf numFmtId="0" fontId="60" fillId="0" borderId="0" xfId="0" applyFont="1" applyAlignment="1">
      <alignment vertical="center" wrapText="1"/>
    </xf>
    <xf numFmtId="10" fontId="60" fillId="0" borderId="0" xfId="0" applyNumberFormat="1" applyFont="1" applyAlignment="1">
      <alignment horizontal="left" vertical="center" wrapText="1"/>
    </xf>
    <xf numFmtId="10" fontId="60" fillId="0" borderId="0" xfId="0" applyNumberFormat="1" applyFont="1" applyAlignment="1">
      <alignment horizontal="left"/>
    </xf>
    <xf numFmtId="0" fontId="0" fillId="0" borderId="0" xfId="0" applyFont="1"/>
    <xf numFmtId="184" fontId="0" fillId="0" borderId="0" xfId="0" applyNumberFormat="1" applyFont="1"/>
    <xf numFmtId="1" fontId="0" fillId="0" borderId="0" xfId="0" applyNumberFormat="1" applyFont="1"/>
    <xf numFmtId="0" fontId="0" fillId="0" borderId="0" xfId="0" applyFont="1" applyAlignment="1">
      <alignment horizontal="left"/>
    </xf>
    <xf numFmtId="6" fontId="0" fillId="0" borderId="0" xfId="0" applyNumberFormat="1" applyFont="1" applyAlignment="1">
      <alignment horizontal="left"/>
    </xf>
    <xf numFmtId="44" fontId="0" fillId="0" borderId="0" xfId="0" applyNumberFormat="1" applyFont="1"/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185" fontId="0" fillId="0" borderId="0" xfId="0" applyNumberFormat="1" applyFont="1"/>
    <xf numFmtId="0" fontId="0" fillId="0" borderId="0" xfId="0" applyFont="1" applyAlignment="1">
      <alignment horizontal="left" vertical="center" wrapText="1"/>
    </xf>
    <xf numFmtId="9" fontId="0" fillId="0" borderId="0" xfId="0" applyNumberFormat="1" applyFont="1" applyAlignment="1">
      <alignment vertical="center" wrapText="1"/>
    </xf>
    <xf numFmtId="3" fontId="0" fillId="0" borderId="0" xfId="0" applyNumberFormat="1" applyFont="1" applyAlignment="1">
      <alignment vertical="center" wrapText="1"/>
    </xf>
    <xf numFmtId="9" fontId="0" fillId="0" borderId="0" xfId="0" applyNumberFormat="1" applyFont="1"/>
    <xf numFmtId="0" fontId="69" fillId="0" borderId="0" xfId="0" applyFont="1"/>
    <xf numFmtId="0" fontId="0" fillId="29" borderId="26" xfId="0" applyFont="1" applyFill="1" applyBorder="1"/>
    <xf numFmtId="0" fontId="0" fillId="29" borderId="2" xfId="0" applyFont="1" applyFill="1" applyBorder="1"/>
    <xf numFmtId="0" fontId="0" fillId="29" borderId="27" xfId="0" applyFont="1" applyFill="1" applyBorder="1"/>
    <xf numFmtId="192" fontId="0" fillId="0" borderId="0" xfId="0" applyNumberFormat="1" applyFont="1"/>
    <xf numFmtId="0" fontId="0" fillId="0" borderId="28" xfId="0" applyFont="1" applyBorder="1"/>
    <xf numFmtId="183" fontId="0" fillId="0" borderId="0" xfId="0" applyNumberFormat="1" applyFont="1"/>
    <xf numFmtId="10" fontId="0" fillId="0" borderId="0" xfId="0" applyNumberFormat="1" applyFont="1"/>
    <xf numFmtId="10" fontId="0" fillId="0" borderId="24" xfId="0" applyNumberFormat="1" applyFont="1" applyBorder="1"/>
    <xf numFmtId="188" fontId="2" fillId="0" borderId="0" xfId="0" applyNumberFormat="1" applyFont="1" applyAlignment="1">
      <alignment horizontal="right"/>
    </xf>
    <xf numFmtId="0" fontId="0" fillId="0" borderId="29" xfId="0" applyFont="1" applyBorder="1"/>
    <xf numFmtId="0" fontId="0" fillId="0" borderId="1" xfId="0" applyFont="1" applyBorder="1"/>
    <xf numFmtId="183" fontId="0" fillId="0" borderId="1" xfId="0" applyNumberFormat="1" applyFont="1" applyBorder="1"/>
    <xf numFmtId="194" fontId="0" fillId="0" borderId="1" xfId="0" applyNumberFormat="1" applyFont="1" applyBorder="1"/>
    <xf numFmtId="43" fontId="0" fillId="0" borderId="1" xfId="0" applyNumberFormat="1" applyFont="1" applyBorder="1"/>
    <xf numFmtId="43" fontId="0" fillId="0" borderId="25" xfId="0" applyNumberFormat="1" applyFont="1" applyBorder="1"/>
    <xf numFmtId="14" fontId="0" fillId="0" borderId="0" xfId="0" applyNumberFormat="1" applyFont="1"/>
    <xf numFmtId="188" fontId="0" fillId="0" borderId="0" xfId="0" applyNumberFormat="1" applyFont="1"/>
    <xf numFmtId="0" fontId="0" fillId="0" borderId="24" xfId="0" applyFont="1" applyBorder="1"/>
    <xf numFmtId="188" fontId="62" fillId="0" borderId="0" xfId="0" applyNumberFormat="1" applyFont="1" applyAlignment="1">
      <alignment horizontal="right"/>
    </xf>
    <xf numFmtId="0" fontId="62" fillId="0" borderId="0" xfId="0" quotePrefix="1" applyFont="1" applyAlignment="1">
      <alignment horizontal="right"/>
    </xf>
    <xf numFmtId="0" fontId="62" fillId="0" borderId="24" xfId="0" applyFont="1" applyBorder="1" applyAlignment="1">
      <alignment horizontal="right"/>
    </xf>
    <xf numFmtId="0" fontId="62" fillId="0" borderId="0" xfId="0" applyFont="1" applyAlignment="1">
      <alignment horizontal="right"/>
    </xf>
    <xf numFmtId="0" fontId="62" fillId="0" borderId="28" xfId="0" applyFont="1" applyBorder="1"/>
    <xf numFmtId="0" fontId="62" fillId="0" borderId="0" xfId="0" applyFont="1"/>
    <xf numFmtId="0" fontId="0" fillId="0" borderId="28" xfId="0" applyFont="1" applyBorder="1" applyAlignment="1">
      <alignment horizontal="left" indent="1"/>
    </xf>
    <xf numFmtId="189" fontId="0" fillId="0" borderId="0" xfId="0" applyNumberFormat="1" applyFont="1" applyAlignment="1">
      <alignment horizontal="right"/>
    </xf>
    <xf numFmtId="41" fontId="61" fillId="0" borderId="24" xfId="0" applyNumberFormat="1" applyFont="1" applyBorder="1" applyAlignment="1">
      <alignment horizontal="right"/>
    </xf>
    <xf numFmtId="41" fontId="0" fillId="0" borderId="0" xfId="0" applyNumberFormat="1" applyFont="1"/>
    <xf numFmtId="41" fontId="2" fillId="0" borderId="24" xfId="0" applyNumberFormat="1" applyFont="1" applyBorder="1" applyAlignment="1">
      <alignment horizontal="right"/>
    </xf>
    <xf numFmtId="0" fontId="0" fillId="0" borderId="0" xfId="0" applyFont="1" applyAlignment="1">
      <alignment horizontal="right"/>
    </xf>
    <xf numFmtId="41" fontId="69" fillId="0" borderId="24" xfId="0" applyNumberFormat="1" applyFont="1" applyBorder="1" applyAlignment="1">
      <alignment horizontal="right"/>
    </xf>
    <xf numFmtId="41" fontId="0" fillId="0" borderId="1" xfId="0" applyNumberFormat="1" applyFont="1" applyBorder="1"/>
    <xf numFmtId="0" fontId="70" fillId="0" borderId="0" xfId="0" applyFont="1" applyAlignment="1">
      <alignment horizontal="right"/>
    </xf>
    <xf numFmtId="0" fontId="71" fillId="0" borderId="0" xfId="0" applyFont="1" applyAlignment="1">
      <alignment horizontal="right"/>
    </xf>
    <xf numFmtId="10" fontId="61" fillId="0" borderId="0" xfId="0" applyNumberFormat="1" applyFont="1" applyAlignment="1">
      <alignment horizontal="right"/>
    </xf>
    <xf numFmtId="10" fontId="72" fillId="0" borderId="0" xfId="0" applyNumberFormat="1" applyFont="1" applyAlignment="1">
      <alignment horizontal="right"/>
    </xf>
    <xf numFmtId="41" fontId="67" fillId="0" borderId="24" xfId="0" applyNumberFormat="1" applyFont="1" applyBorder="1" applyAlignment="1">
      <alignment horizontal="right"/>
    </xf>
    <xf numFmtId="0" fontId="0" fillId="0" borderId="28" xfId="0" applyFont="1" applyBorder="1" applyAlignment="1">
      <alignment horizontal="left"/>
    </xf>
    <xf numFmtId="188" fontId="0" fillId="0" borderId="0" xfId="0" applyNumberFormat="1" applyFont="1" applyAlignment="1">
      <alignment horizontal="right"/>
    </xf>
    <xf numFmtId="43" fontId="0" fillId="0" borderId="0" xfId="0" applyNumberFormat="1" applyFont="1"/>
    <xf numFmtId="183" fontId="0" fillId="0" borderId="24" xfId="0" applyNumberFormat="1" applyFont="1" applyBorder="1"/>
    <xf numFmtId="191" fontId="61" fillId="0" borderId="0" xfId="0" applyNumberFormat="1" applyFont="1" applyAlignment="1">
      <alignment horizontal="right"/>
    </xf>
    <xf numFmtId="190" fontId="61" fillId="0" borderId="0" xfId="0" applyNumberFormat="1" applyFont="1" applyAlignment="1">
      <alignment horizontal="right"/>
    </xf>
    <xf numFmtId="167" fontId="0" fillId="0" borderId="0" xfId="0" applyNumberFormat="1" applyFont="1"/>
    <xf numFmtId="165" fontId="0" fillId="0" borderId="24" xfId="0" applyNumberFormat="1" applyFont="1" applyBorder="1"/>
    <xf numFmtId="165" fontId="0" fillId="0" borderId="0" xfId="0" applyNumberFormat="1" applyFont="1"/>
    <xf numFmtId="0" fontId="0" fillId="0" borderId="28" xfId="0" applyFont="1" applyBorder="1" applyAlignment="1">
      <alignment horizontal="left" indent="2"/>
    </xf>
    <xf numFmtId="167" fontId="0" fillId="0" borderId="24" xfId="0" applyNumberFormat="1" applyFont="1" applyBorder="1"/>
    <xf numFmtId="41" fontId="0" fillId="0" borderId="0" xfId="0" applyNumberFormat="1" applyFont="1" applyAlignment="1">
      <alignment horizontal="right"/>
    </xf>
    <xf numFmtId="0" fontId="0" fillId="0" borderId="28" xfId="0" applyFont="1" applyBorder="1" applyAlignment="1">
      <alignment horizontal="right"/>
    </xf>
    <xf numFmtId="43" fontId="0" fillId="0" borderId="24" xfId="0" applyNumberFormat="1" applyFont="1" applyBorder="1"/>
    <xf numFmtId="183" fontId="0" fillId="0" borderId="0" xfId="0" applyNumberFormat="1" applyFont="1" applyAlignment="1">
      <alignment horizontal="right"/>
    </xf>
    <xf numFmtId="9" fontId="0" fillId="0" borderId="0" xfId="0" applyNumberFormat="1" applyFont="1" applyAlignment="1">
      <alignment horizontal="right"/>
    </xf>
    <xf numFmtId="0" fontId="0" fillId="0" borderId="24" xfId="0" applyFont="1" applyBorder="1" applyAlignment="1">
      <alignment horizontal="right"/>
    </xf>
    <xf numFmtId="0" fontId="73" fillId="0" borderId="0" xfId="0" applyFont="1" applyAlignment="1">
      <alignment horizontal="right" vertical="center"/>
    </xf>
    <xf numFmtId="0" fontId="68" fillId="0" borderId="0" xfId="0" applyFont="1" applyAlignment="1">
      <alignment horizontal="right"/>
    </xf>
    <xf numFmtId="41" fontId="2" fillId="0" borderId="0" xfId="0" applyNumberFormat="1" applyFont="1" applyAlignment="1">
      <alignment horizontal="right"/>
    </xf>
    <xf numFmtId="41" fontId="61" fillId="0" borderId="0" xfId="0" applyNumberFormat="1" applyFont="1" applyAlignment="1">
      <alignment horizontal="right"/>
    </xf>
    <xf numFmtId="10" fontId="74" fillId="0" borderId="0" xfId="3" applyNumberFormat="1" applyFont="1" applyAlignment="1">
      <alignment vertical="center"/>
    </xf>
    <xf numFmtId="0" fontId="0" fillId="0" borderId="28" xfId="0" applyFont="1" applyBorder="1" applyAlignment="1">
      <alignment vertical="center"/>
    </xf>
    <xf numFmtId="183" fontId="0" fillId="0" borderId="0" xfId="0" applyNumberFormat="1" applyFont="1" applyAlignment="1">
      <alignment vertical="center"/>
    </xf>
    <xf numFmtId="9" fontId="0" fillId="0" borderId="0" xfId="3" applyFont="1" applyAlignment="1">
      <alignment vertical="center"/>
    </xf>
    <xf numFmtId="0" fontId="0" fillId="29" borderId="10" xfId="0" applyFont="1" applyFill="1" applyBorder="1"/>
    <xf numFmtId="0" fontId="0" fillId="29" borderId="31" xfId="0" applyFont="1" applyFill="1" applyBorder="1"/>
    <xf numFmtId="0" fontId="0" fillId="0" borderId="26" xfId="0" applyFont="1" applyBorder="1"/>
    <xf numFmtId="0" fontId="0" fillId="0" borderId="27" xfId="0" applyFont="1" applyBorder="1"/>
    <xf numFmtId="0" fontId="0" fillId="0" borderId="2" xfId="0" applyFont="1" applyBorder="1"/>
    <xf numFmtId="165" fontId="0" fillId="0" borderId="27" xfId="0" applyNumberFormat="1" applyFont="1" applyBorder="1"/>
    <xf numFmtId="0" fontId="0" fillId="0" borderId="27" xfId="0" applyFont="1" applyBorder="1" applyAlignment="1">
      <alignment horizontal="right"/>
    </xf>
    <xf numFmtId="2" fontId="0" fillId="0" borderId="24" xfId="0" applyNumberFormat="1" applyFont="1" applyBorder="1"/>
    <xf numFmtId="14" fontId="0" fillId="0" borderId="24" xfId="0" applyNumberFormat="1" applyFont="1" applyBorder="1"/>
    <xf numFmtId="14" fontId="0" fillId="0" borderId="24" xfId="0" applyNumberFormat="1" applyFont="1" applyBorder="1" applyAlignment="1">
      <alignment horizontal="right"/>
    </xf>
    <xf numFmtId="165" fontId="0" fillId="0" borderId="25" xfId="0" applyNumberFormat="1" applyFont="1" applyBorder="1"/>
    <xf numFmtId="0" fontId="0" fillId="0" borderId="25" xfId="0" applyFont="1" applyBorder="1" applyAlignment="1">
      <alignment horizontal="right"/>
    </xf>
    <xf numFmtId="167" fontId="0" fillId="0" borderId="24" xfId="0" applyNumberFormat="1" applyFont="1" applyBorder="1" applyAlignment="1">
      <alignment horizontal="right"/>
    </xf>
    <xf numFmtId="14" fontId="0" fillId="0" borderId="25" xfId="0" applyNumberFormat="1" applyFont="1" applyBorder="1"/>
    <xf numFmtId="0" fontId="0" fillId="30" borderId="26" xfId="0" applyFont="1" applyFill="1" applyBorder="1"/>
    <xf numFmtId="183" fontId="0" fillId="30" borderId="27" xfId="0" applyNumberFormat="1" applyFont="1" applyFill="1" applyBorder="1"/>
    <xf numFmtId="0" fontId="0" fillId="30" borderId="2" xfId="0" applyFont="1" applyFill="1" applyBorder="1"/>
    <xf numFmtId="165" fontId="0" fillId="30" borderId="27" xfId="0" applyNumberFormat="1" applyFont="1" applyFill="1" applyBorder="1"/>
    <xf numFmtId="0" fontId="0" fillId="30" borderId="30" xfId="0" applyFont="1" applyFill="1" applyBorder="1"/>
    <xf numFmtId="2" fontId="0" fillId="30" borderId="31" xfId="0" applyNumberFormat="1" applyFont="1" applyFill="1" applyBorder="1"/>
    <xf numFmtId="0" fontId="0" fillId="30" borderId="10" xfId="0" applyFont="1" applyFill="1" applyBorder="1"/>
    <xf numFmtId="165" fontId="0" fillId="30" borderId="31" xfId="0" applyNumberFormat="1" applyFont="1" applyFill="1" applyBorder="1"/>
    <xf numFmtId="0" fontId="0" fillId="30" borderId="29" xfId="0" applyFont="1" applyFill="1" applyBorder="1"/>
    <xf numFmtId="9" fontId="0" fillId="30" borderId="25" xfId="0" applyNumberFormat="1" applyFont="1" applyFill="1" applyBorder="1"/>
    <xf numFmtId="0" fontId="0" fillId="30" borderId="1" xfId="0" applyFont="1" applyFill="1" applyBorder="1"/>
    <xf numFmtId="165" fontId="0" fillId="30" borderId="25" xfId="0" applyNumberFormat="1" applyFont="1" applyFill="1" applyBorder="1"/>
    <xf numFmtId="0" fontId="0" fillId="30" borderId="27" xfId="0" applyFont="1" applyFill="1" applyBorder="1"/>
    <xf numFmtId="1" fontId="0" fillId="30" borderId="25" xfId="0" applyNumberFormat="1" applyFont="1" applyFill="1" applyBorder="1"/>
    <xf numFmtId="167" fontId="0" fillId="30" borderId="25" xfId="0" applyNumberFormat="1" applyFont="1" applyFill="1" applyBorder="1"/>
  </cellXfs>
  <cellStyles count="815">
    <cellStyle name="20% - Accent1 2" xfId="22" xr:uid="{00000000-0005-0000-0000-000000000000}"/>
    <cellStyle name="20% - Accent2 2" xfId="23" xr:uid="{00000000-0005-0000-0000-000001000000}"/>
    <cellStyle name="20% - Accent3 2" xfId="24" xr:uid="{00000000-0005-0000-0000-000002000000}"/>
    <cellStyle name="20% - Accent4 2" xfId="25" xr:uid="{00000000-0005-0000-0000-000003000000}"/>
    <cellStyle name="20% - Accent5 2" xfId="26" xr:uid="{00000000-0005-0000-0000-000004000000}"/>
    <cellStyle name="20% - Accent6 2" xfId="27" xr:uid="{00000000-0005-0000-0000-000005000000}"/>
    <cellStyle name="40% - Accent1 2" xfId="28" xr:uid="{00000000-0005-0000-0000-000007000000}"/>
    <cellStyle name="40% - Accent2 2" xfId="29" xr:uid="{00000000-0005-0000-0000-000008000000}"/>
    <cellStyle name="40% - Accent3 2" xfId="30" xr:uid="{00000000-0005-0000-0000-000009000000}"/>
    <cellStyle name="40% - Accent4 2" xfId="31" xr:uid="{00000000-0005-0000-0000-00000A000000}"/>
    <cellStyle name="40% - Accent5 2" xfId="32" xr:uid="{00000000-0005-0000-0000-00000B000000}"/>
    <cellStyle name="40% - Accent6 2" xfId="33" xr:uid="{00000000-0005-0000-0000-00000C000000}"/>
    <cellStyle name="60% - Accent1 2" xfId="34" xr:uid="{00000000-0005-0000-0000-00000D000000}"/>
    <cellStyle name="60% - Accent2 2" xfId="35" xr:uid="{00000000-0005-0000-0000-00000E000000}"/>
    <cellStyle name="60% - Accent3 2" xfId="36" xr:uid="{00000000-0005-0000-0000-00000F000000}"/>
    <cellStyle name="60% - Accent4 2" xfId="37" xr:uid="{00000000-0005-0000-0000-000010000000}"/>
    <cellStyle name="60% - Accent5 2" xfId="38" xr:uid="{00000000-0005-0000-0000-000011000000}"/>
    <cellStyle name="60% - Accent6 2" xfId="39" xr:uid="{00000000-0005-0000-0000-000012000000}"/>
    <cellStyle name="A" xfId="40" xr:uid="{00000000-0005-0000-0000-000013000000}"/>
    <cellStyle name="Accent1 2" xfId="41" xr:uid="{00000000-0005-0000-0000-000015000000}"/>
    <cellStyle name="Accent2 2" xfId="42" xr:uid="{00000000-0005-0000-0000-000016000000}"/>
    <cellStyle name="Accent3 2" xfId="43" xr:uid="{00000000-0005-0000-0000-000018000000}"/>
    <cellStyle name="Accent4 2" xfId="44" xr:uid="{00000000-0005-0000-0000-000019000000}"/>
    <cellStyle name="Accent5 2" xfId="45" xr:uid="{00000000-0005-0000-0000-00001A000000}"/>
    <cellStyle name="Accent6 2" xfId="46" xr:uid="{00000000-0005-0000-0000-00001B000000}"/>
    <cellStyle name="ACE" xfId="47" xr:uid="{00000000-0005-0000-0000-00001C000000}"/>
    <cellStyle name="AMOSText" xfId="6" xr:uid="{00000000-0005-0000-0000-00001D000000}"/>
    <cellStyle name="Bad 2" xfId="48" xr:uid="{00000000-0005-0000-0000-00001E000000}"/>
    <cellStyle name="Calculation 2" xfId="49" xr:uid="{00000000-0005-0000-0000-00001F000000}"/>
    <cellStyle name="Calculation 2 2" xfId="50" xr:uid="{00000000-0005-0000-0000-000020000000}"/>
    <cellStyle name="Calculation 2 3" xfId="51" xr:uid="{00000000-0005-0000-0000-000021000000}"/>
    <cellStyle name="CashFlow" xfId="7" xr:uid="{00000000-0005-0000-0000-000022000000}"/>
    <cellStyle name="CashFlowExpense" xfId="8" xr:uid="{00000000-0005-0000-0000-000023000000}"/>
    <cellStyle name="CashFlowTotal" xfId="9" xr:uid="{00000000-0005-0000-0000-000024000000}"/>
    <cellStyle name="Check Cell 2" xfId="52" xr:uid="{00000000-0005-0000-0000-000025000000}"/>
    <cellStyle name="Check Cell 3" xfId="53" xr:uid="{00000000-0005-0000-0000-000026000000}"/>
    <cellStyle name="ColumnHeading" xfId="54" xr:uid="{00000000-0005-0000-0000-000027000000}"/>
    <cellStyle name="Comma" xfId="1" builtinId="3"/>
    <cellStyle name="Comma 2" xfId="11" xr:uid="{00000000-0005-0000-0000-000029000000}"/>
    <cellStyle name="Comma 2 2" xfId="55" xr:uid="{00000000-0005-0000-0000-00002A000000}"/>
    <cellStyle name="Comma 2 3" xfId="56" xr:uid="{00000000-0005-0000-0000-00002B000000}"/>
    <cellStyle name="Comma 2 4" xfId="57" xr:uid="{00000000-0005-0000-0000-00002C000000}"/>
    <cellStyle name="Comma 3" xfId="10" xr:uid="{00000000-0005-0000-0000-00002D000000}"/>
    <cellStyle name="Comma 3 2" xfId="58" xr:uid="{00000000-0005-0000-0000-00002E000000}"/>
    <cellStyle name="Comma 3 3" xfId="59" xr:uid="{00000000-0005-0000-0000-00002F000000}"/>
    <cellStyle name="Comma 3 4" xfId="60" xr:uid="{00000000-0005-0000-0000-000030000000}"/>
    <cellStyle name="Comma 4" xfId="61" xr:uid="{00000000-0005-0000-0000-000031000000}"/>
    <cellStyle name="Comma 5" xfId="62" xr:uid="{00000000-0005-0000-0000-000032000000}"/>
    <cellStyle name="Comma0 - Modelo1" xfId="63" xr:uid="{00000000-0005-0000-0000-000033000000}"/>
    <cellStyle name="Comma0 - Style1" xfId="64" xr:uid="{00000000-0005-0000-0000-000034000000}"/>
    <cellStyle name="Comma1 - Modelo2" xfId="65" xr:uid="{00000000-0005-0000-0000-000035000000}"/>
    <cellStyle name="Comma1 - Style2" xfId="66" xr:uid="{00000000-0005-0000-0000-000036000000}"/>
    <cellStyle name="Currency" xfId="2" builtinId="4"/>
    <cellStyle name="Currency 2" xfId="13" xr:uid="{00000000-0005-0000-0000-000038000000}"/>
    <cellStyle name="Currency 2 2" xfId="67" xr:uid="{00000000-0005-0000-0000-000039000000}"/>
    <cellStyle name="Currency 2 3" xfId="68" xr:uid="{00000000-0005-0000-0000-00003A000000}"/>
    <cellStyle name="Currency 2 4" xfId="69" xr:uid="{00000000-0005-0000-0000-00003B000000}"/>
    <cellStyle name="Currency 3" xfId="12" xr:uid="{00000000-0005-0000-0000-00003C000000}"/>
    <cellStyle name="Currency 3 2" xfId="70" xr:uid="{00000000-0005-0000-0000-00003D000000}"/>
    <cellStyle name="Currency 4" xfId="71" xr:uid="{00000000-0005-0000-0000-00003E000000}"/>
    <cellStyle name="Currency 5" xfId="72" xr:uid="{00000000-0005-0000-0000-00003F000000}"/>
    <cellStyle name="Currency 6" xfId="73" xr:uid="{00000000-0005-0000-0000-000040000000}"/>
    <cellStyle name="D" xfId="74" xr:uid="{00000000-0005-0000-0000-000042000000}"/>
    <cellStyle name="DATETIME" xfId="75" xr:uid="{00000000-0005-0000-0000-000043000000}"/>
    <cellStyle name="Dia" xfId="76" xr:uid="{00000000-0005-0000-0000-000044000000}"/>
    <cellStyle name="Encabez1" xfId="77" xr:uid="{00000000-0005-0000-0000-000045000000}"/>
    <cellStyle name="Encabez2" xfId="78" xr:uid="{00000000-0005-0000-0000-000046000000}"/>
    <cellStyle name="Euro" xfId="79" xr:uid="{00000000-0005-0000-0000-000047000000}"/>
    <cellStyle name="EvenBodyShade" xfId="80" xr:uid="{00000000-0005-0000-0000-000048000000}"/>
    <cellStyle name="Explanatory Text 2" xfId="81" xr:uid="{00000000-0005-0000-0000-000049000000}"/>
    <cellStyle name="F1" xfId="82" xr:uid="{00000000-0005-0000-0000-00004A000000}"/>
    <cellStyle name="F2" xfId="83" xr:uid="{00000000-0005-0000-0000-00004B000000}"/>
    <cellStyle name="F3" xfId="84" xr:uid="{00000000-0005-0000-0000-00004C000000}"/>
    <cellStyle name="F4" xfId="85" xr:uid="{00000000-0005-0000-0000-00004D000000}"/>
    <cellStyle name="F5" xfId="86" xr:uid="{00000000-0005-0000-0000-00004E000000}"/>
    <cellStyle name="F6" xfId="87" xr:uid="{00000000-0005-0000-0000-00004F000000}"/>
    <cellStyle name="F7" xfId="88" xr:uid="{00000000-0005-0000-0000-000050000000}"/>
    <cellStyle name="F8" xfId="89" xr:uid="{00000000-0005-0000-0000-000051000000}"/>
    <cellStyle name="Fijo" xfId="90" xr:uid="{00000000-0005-0000-0000-000052000000}"/>
    <cellStyle name="Financiero" xfId="91" xr:uid="{00000000-0005-0000-0000-000053000000}"/>
    <cellStyle name="Good 2" xfId="92" xr:uid="{00000000-0005-0000-0000-000054000000}"/>
    <cellStyle name="GrandTotal" xfId="93" xr:uid="{00000000-0005-0000-0000-000055000000}"/>
    <cellStyle name="Grey" xfId="94" xr:uid="{00000000-0005-0000-0000-000056000000}"/>
    <cellStyle name="Grey 2" xfId="95" xr:uid="{00000000-0005-0000-0000-000057000000}"/>
    <cellStyle name="Head0" xfId="96" xr:uid="{00000000-0005-0000-0000-000058000000}"/>
    <cellStyle name="Head1" xfId="97" xr:uid="{00000000-0005-0000-0000-000059000000}"/>
    <cellStyle name="Head2" xfId="98" xr:uid="{00000000-0005-0000-0000-00005A000000}"/>
    <cellStyle name="Head3" xfId="99" xr:uid="{00000000-0005-0000-0000-00005B000000}"/>
    <cellStyle name="Head4" xfId="100" xr:uid="{00000000-0005-0000-0000-00005C000000}"/>
    <cellStyle name="Head5" xfId="101" xr:uid="{00000000-0005-0000-0000-00005D000000}"/>
    <cellStyle name="Head6" xfId="102" xr:uid="{00000000-0005-0000-0000-00005E000000}"/>
    <cellStyle name="Head7" xfId="103" xr:uid="{00000000-0005-0000-0000-00005F000000}"/>
    <cellStyle name="Head8" xfId="104" xr:uid="{00000000-0005-0000-0000-000060000000}"/>
    <cellStyle name="Head9" xfId="105" xr:uid="{00000000-0005-0000-0000-000061000000}"/>
    <cellStyle name="Header1" xfId="106" xr:uid="{00000000-0005-0000-0000-000062000000}"/>
    <cellStyle name="Header1 2" xfId="107" xr:uid="{00000000-0005-0000-0000-000063000000}"/>
    <cellStyle name="Header1 2 2" xfId="108" xr:uid="{00000000-0005-0000-0000-000064000000}"/>
    <cellStyle name="Header2" xfId="109" xr:uid="{00000000-0005-0000-0000-000065000000}"/>
    <cellStyle name="Header2 2" xfId="110" xr:uid="{00000000-0005-0000-0000-000066000000}"/>
    <cellStyle name="Header2 2 2" xfId="111" xr:uid="{00000000-0005-0000-0000-000067000000}"/>
    <cellStyle name="Header2 2 2 2" xfId="787" xr:uid="{00000000-0005-0000-0000-000068000000}"/>
    <cellStyle name="Header2 2 3" xfId="112" xr:uid="{00000000-0005-0000-0000-000069000000}"/>
    <cellStyle name="Header2 2 3 2" xfId="788" xr:uid="{00000000-0005-0000-0000-00006A000000}"/>
    <cellStyle name="Header2 2 4" xfId="786" xr:uid="{00000000-0005-0000-0000-00006B000000}"/>
    <cellStyle name="Header2 3" xfId="785" xr:uid="{00000000-0005-0000-0000-00006C000000}"/>
    <cellStyle name="Heading 1 2" xfId="113" xr:uid="{00000000-0005-0000-0000-00006D000000}"/>
    <cellStyle name="Heading 2 2" xfId="114" xr:uid="{00000000-0005-0000-0000-00006E000000}"/>
    <cellStyle name="Heading 3 2" xfId="115" xr:uid="{00000000-0005-0000-0000-00006F000000}"/>
    <cellStyle name="Heading 4 2" xfId="116" xr:uid="{00000000-0005-0000-0000-000070000000}"/>
    <cellStyle name="HeadShade" xfId="117" xr:uid="{00000000-0005-0000-0000-000071000000}"/>
    <cellStyle name="HeadShade 2" xfId="118" xr:uid="{00000000-0005-0000-0000-000072000000}"/>
    <cellStyle name="I" xfId="119" xr:uid="{00000000-0005-0000-0000-000074000000}"/>
    <cellStyle name="Input [yellow]" xfId="120" xr:uid="{00000000-0005-0000-0000-000075000000}"/>
    <cellStyle name="Input [yellow] 2" xfId="121" xr:uid="{00000000-0005-0000-0000-000076000000}"/>
    <cellStyle name="Input [yellow] 2 2" xfId="122" xr:uid="{00000000-0005-0000-0000-000077000000}"/>
    <cellStyle name="Input [yellow] 2 3" xfId="123" xr:uid="{00000000-0005-0000-0000-000078000000}"/>
    <cellStyle name="Input [yellow] 3" xfId="124" xr:uid="{00000000-0005-0000-0000-000079000000}"/>
    <cellStyle name="Input [yellow] 3 2" xfId="125" xr:uid="{00000000-0005-0000-0000-00007A000000}"/>
    <cellStyle name="Input [yellow] 3 3" xfId="126" xr:uid="{00000000-0005-0000-0000-00007B000000}"/>
    <cellStyle name="Input 2" xfId="127" xr:uid="{00000000-0005-0000-0000-00007C000000}"/>
    <cellStyle name="Input 2 2" xfId="128" xr:uid="{00000000-0005-0000-0000-00007D000000}"/>
    <cellStyle name="Input 2 3" xfId="129" xr:uid="{00000000-0005-0000-0000-00007E000000}"/>
    <cellStyle name="Input 3" xfId="130" xr:uid="{00000000-0005-0000-0000-00007F000000}"/>
    <cellStyle name="Input 3 2" xfId="131" xr:uid="{00000000-0005-0000-0000-000080000000}"/>
    <cellStyle name="Input 3 3" xfId="132" xr:uid="{00000000-0005-0000-0000-000081000000}"/>
    <cellStyle name="Linked Cell 2" xfId="133" xr:uid="{00000000-0005-0000-0000-000082000000}"/>
    <cellStyle name="Linked Cell 2 2" xfId="134" xr:uid="{00000000-0005-0000-0000-000083000000}"/>
    <cellStyle name="Linked Cell 3" xfId="135" xr:uid="{00000000-0005-0000-0000-000084000000}"/>
    <cellStyle name="Linked Cell 3 2" xfId="136" xr:uid="{00000000-0005-0000-0000-000085000000}"/>
    <cellStyle name="M" xfId="137" xr:uid="{00000000-0005-0000-0000-000086000000}"/>
    <cellStyle name="Millares [0]_10 AVERIAS MASIVAS + ANT" xfId="138" xr:uid="{00000000-0005-0000-0000-000087000000}"/>
    <cellStyle name="Millares_10 AVERIAS MASIVAS + ANT" xfId="139" xr:uid="{00000000-0005-0000-0000-000088000000}"/>
    <cellStyle name="Moneda [0]_10 AVERIAS MASIVAS + ANT" xfId="140" xr:uid="{00000000-0005-0000-0000-000089000000}"/>
    <cellStyle name="Moneda_10 AVERIAS MASIVAS + ANT" xfId="141" xr:uid="{00000000-0005-0000-0000-00008A000000}"/>
    <cellStyle name="Monetario" xfId="142" xr:uid="{00000000-0005-0000-0000-00008B000000}"/>
    <cellStyle name="Neutral 2" xfId="143" xr:uid="{00000000-0005-0000-0000-00008D000000}"/>
    <cellStyle name="no dec" xfId="144" xr:uid="{00000000-0005-0000-0000-00008E000000}"/>
    <cellStyle name="Normal" xfId="0" builtinId="0"/>
    <cellStyle name="Normal - Style1" xfId="145" xr:uid="{00000000-0005-0000-0000-000090000000}"/>
    <cellStyle name="Normal 10" xfId="146" xr:uid="{00000000-0005-0000-0000-000091000000}"/>
    <cellStyle name="Normal 10 2" xfId="147" xr:uid="{00000000-0005-0000-0000-000092000000}"/>
    <cellStyle name="Normal 100" xfId="148" xr:uid="{00000000-0005-0000-0000-000093000000}"/>
    <cellStyle name="Normal 101" xfId="149" xr:uid="{00000000-0005-0000-0000-000094000000}"/>
    <cellStyle name="Normal 102" xfId="150" xr:uid="{00000000-0005-0000-0000-000095000000}"/>
    <cellStyle name="Normal 103" xfId="151" xr:uid="{00000000-0005-0000-0000-000096000000}"/>
    <cellStyle name="Normal 104" xfId="152" xr:uid="{00000000-0005-0000-0000-000097000000}"/>
    <cellStyle name="Normal 105" xfId="153" xr:uid="{00000000-0005-0000-0000-000098000000}"/>
    <cellStyle name="Normal 106" xfId="154" xr:uid="{00000000-0005-0000-0000-000099000000}"/>
    <cellStyle name="Normal 107" xfId="155" xr:uid="{00000000-0005-0000-0000-00009A000000}"/>
    <cellStyle name="Normal 108" xfId="156" xr:uid="{00000000-0005-0000-0000-00009B000000}"/>
    <cellStyle name="Normal 109" xfId="157" xr:uid="{00000000-0005-0000-0000-00009C000000}"/>
    <cellStyle name="Normal 11" xfId="158" xr:uid="{00000000-0005-0000-0000-00009D000000}"/>
    <cellStyle name="Normal 11 2" xfId="159" xr:uid="{00000000-0005-0000-0000-00009E000000}"/>
    <cellStyle name="Normal 110" xfId="160" xr:uid="{00000000-0005-0000-0000-00009F000000}"/>
    <cellStyle name="Normal 111" xfId="161" xr:uid="{00000000-0005-0000-0000-0000A0000000}"/>
    <cellStyle name="Normal 112" xfId="162" xr:uid="{00000000-0005-0000-0000-0000A1000000}"/>
    <cellStyle name="Normal 113" xfId="163" xr:uid="{00000000-0005-0000-0000-0000A2000000}"/>
    <cellStyle name="Normal 114" xfId="164" xr:uid="{00000000-0005-0000-0000-0000A3000000}"/>
    <cellStyle name="Normal 115" xfId="165" xr:uid="{00000000-0005-0000-0000-0000A4000000}"/>
    <cellStyle name="Normal 116" xfId="166" xr:uid="{00000000-0005-0000-0000-0000A5000000}"/>
    <cellStyle name="Normal 117" xfId="167" xr:uid="{00000000-0005-0000-0000-0000A6000000}"/>
    <cellStyle name="Normal 118" xfId="168" xr:uid="{00000000-0005-0000-0000-0000A7000000}"/>
    <cellStyle name="Normal 119" xfId="169" xr:uid="{00000000-0005-0000-0000-0000A8000000}"/>
    <cellStyle name="Normal 12" xfId="170" xr:uid="{00000000-0005-0000-0000-0000A9000000}"/>
    <cellStyle name="Normal 12 2" xfId="171" xr:uid="{00000000-0005-0000-0000-0000AA000000}"/>
    <cellStyle name="Normal 120" xfId="172" xr:uid="{00000000-0005-0000-0000-0000AB000000}"/>
    <cellStyle name="Normal 121" xfId="173" xr:uid="{00000000-0005-0000-0000-0000AC000000}"/>
    <cellStyle name="Normal 122" xfId="174" xr:uid="{00000000-0005-0000-0000-0000AD000000}"/>
    <cellStyle name="Normal 123" xfId="175" xr:uid="{00000000-0005-0000-0000-0000AE000000}"/>
    <cellStyle name="Normal 124" xfId="176" xr:uid="{00000000-0005-0000-0000-0000AF000000}"/>
    <cellStyle name="Normal 125" xfId="177" xr:uid="{00000000-0005-0000-0000-0000B0000000}"/>
    <cellStyle name="Normal 126" xfId="178" xr:uid="{00000000-0005-0000-0000-0000B1000000}"/>
    <cellStyle name="Normal 127" xfId="179" xr:uid="{00000000-0005-0000-0000-0000B2000000}"/>
    <cellStyle name="Normal 128" xfId="180" xr:uid="{00000000-0005-0000-0000-0000B3000000}"/>
    <cellStyle name="Normal 129" xfId="181" xr:uid="{00000000-0005-0000-0000-0000B4000000}"/>
    <cellStyle name="Normal 13" xfId="182" xr:uid="{00000000-0005-0000-0000-0000B5000000}"/>
    <cellStyle name="Normal 13 2" xfId="183" xr:uid="{00000000-0005-0000-0000-0000B6000000}"/>
    <cellStyle name="Normal 13 3" xfId="184" xr:uid="{00000000-0005-0000-0000-0000B7000000}"/>
    <cellStyle name="Normal 130" xfId="185" xr:uid="{00000000-0005-0000-0000-0000B8000000}"/>
    <cellStyle name="Normal 131" xfId="186" xr:uid="{00000000-0005-0000-0000-0000B9000000}"/>
    <cellStyle name="Normal 132" xfId="187" xr:uid="{00000000-0005-0000-0000-0000BA000000}"/>
    <cellStyle name="Normal 133" xfId="188" xr:uid="{00000000-0005-0000-0000-0000BB000000}"/>
    <cellStyle name="Normal 134" xfId="189" xr:uid="{00000000-0005-0000-0000-0000BC000000}"/>
    <cellStyle name="Normal 135" xfId="190" xr:uid="{00000000-0005-0000-0000-0000BD000000}"/>
    <cellStyle name="Normal 136" xfId="191" xr:uid="{00000000-0005-0000-0000-0000BE000000}"/>
    <cellStyle name="Normal 137" xfId="192" xr:uid="{00000000-0005-0000-0000-0000BF000000}"/>
    <cellStyle name="Normal 138" xfId="193" xr:uid="{00000000-0005-0000-0000-0000C0000000}"/>
    <cellStyle name="Normal 139" xfId="194" xr:uid="{00000000-0005-0000-0000-0000C1000000}"/>
    <cellStyle name="Normal 14" xfId="195" xr:uid="{00000000-0005-0000-0000-0000C2000000}"/>
    <cellStyle name="Normal 14 2" xfId="196" xr:uid="{00000000-0005-0000-0000-0000C3000000}"/>
    <cellStyle name="Normal 14 3" xfId="197" xr:uid="{00000000-0005-0000-0000-0000C4000000}"/>
    <cellStyle name="Normal 140" xfId="198" xr:uid="{00000000-0005-0000-0000-0000C5000000}"/>
    <cellStyle name="Normal 141" xfId="199" xr:uid="{00000000-0005-0000-0000-0000C6000000}"/>
    <cellStyle name="Normal 142" xfId="200" xr:uid="{00000000-0005-0000-0000-0000C7000000}"/>
    <cellStyle name="Normal 143" xfId="201" xr:uid="{00000000-0005-0000-0000-0000C8000000}"/>
    <cellStyle name="Normal 144" xfId="202" xr:uid="{00000000-0005-0000-0000-0000C9000000}"/>
    <cellStyle name="Normal 145" xfId="203" xr:uid="{00000000-0005-0000-0000-0000CA000000}"/>
    <cellStyle name="Normal 146" xfId="204" xr:uid="{00000000-0005-0000-0000-0000CB000000}"/>
    <cellStyle name="Normal 147" xfId="205" xr:uid="{00000000-0005-0000-0000-0000CC000000}"/>
    <cellStyle name="Normal 148" xfId="206" xr:uid="{00000000-0005-0000-0000-0000CD000000}"/>
    <cellStyle name="Normal 149" xfId="207" xr:uid="{00000000-0005-0000-0000-0000CE000000}"/>
    <cellStyle name="Normal 15" xfId="208" xr:uid="{00000000-0005-0000-0000-0000CF000000}"/>
    <cellStyle name="Normal 15 2" xfId="209" xr:uid="{00000000-0005-0000-0000-0000D0000000}"/>
    <cellStyle name="Normal 15 3" xfId="210" xr:uid="{00000000-0005-0000-0000-0000D1000000}"/>
    <cellStyle name="Normal 150" xfId="211" xr:uid="{00000000-0005-0000-0000-0000D2000000}"/>
    <cellStyle name="Normal 151" xfId="212" xr:uid="{00000000-0005-0000-0000-0000D3000000}"/>
    <cellStyle name="Normal 152" xfId="213" xr:uid="{00000000-0005-0000-0000-0000D4000000}"/>
    <cellStyle name="Normal 153" xfId="214" xr:uid="{00000000-0005-0000-0000-0000D5000000}"/>
    <cellStyle name="Normal 154" xfId="215" xr:uid="{00000000-0005-0000-0000-0000D6000000}"/>
    <cellStyle name="Normal 155" xfId="216" xr:uid="{00000000-0005-0000-0000-0000D7000000}"/>
    <cellStyle name="Normal 156" xfId="217" xr:uid="{00000000-0005-0000-0000-0000D8000000}"/>
    <cellStyle name="Normal 157" xfId="218" xr:uid="{00000000-0005-0000-0000-0000D9000000}"/>
    <cellStyle name="Normal 158" xfId="219" xr:uid="{00000000-0005-0000-0000-0000DA000000}"/>
    <cellStyle name="Normal 159" xfId="220" xr:uid="{00000000-0005-0000-0000-0000DB000000}"/>
    <cellStyle name="Normal 16" xfId="221" xr:uid="{00000000-0005-0000-0000-0000DC000000}"/>
    <cellStyle name="Normal 16 2" xfId="222" xr:uid="{00000000-0005-0000-0000-0000DD000000}"/>
    <cellStyle name="Normal 160" xfId="223" xr:uid="{00000000-0005-0000-0000-0000DE000000}"/>
    <cellStyle name="Normal 161" xfId="224" xr:uid="{00000000-0005-0000-0000-0000DF000000}"/>
    <cellStyle name="Normal 162" xfId="225" xr:uid="{00000000-0005-0000-0000-0000E0000000}"/>
    <cellStyle name="Normal 163" xfId="226" xr:uid="{00000000-0005-0000-0000-0000E1000000}"/>
    <cellStyle name="Normal 164" xfId="227" xr:uid="{00000000-0005-0000-0000-0000E2000000}"/>
    <cellStyle name="Normal 165" xfId="228" xr:uid="{00000000-0005-0000-0000-0000E3000000}"/>
    <cellStyle name="Normal 166" xfId="229" xr:uid="{00000000-0005-0000-0000-0000E4000000}"/>
    <cellStyle name="Normal 167" xfId="230" xr:uid="{00000000-0005-0000-0000-0000E5000000}"/>
    <cellStyle name="Normal 168" xfId="231" xr:uid="{00000000-0005-0000-0000-0000E6000000}"/>
    <cellStyle name="Normal 169" xfId="232" xr:uid="{00000000-0005-0000-0000-0000E7000000}"/>
    <cellStyle name="Normal 17" xfId="233" xr:uid="{00000000-0005-0000-0000-0000E8000000}"/>
    <cellStyle name="Normal 17 2" xfId="234" xr:uid="{00000000-0005-0000-0000-0000E9000000}"/>
    <cellStyle name="Normal 170" xfId="235" xr:uid="{00000000-0005-0000-0000-0000EA000000}"/>
    <cellStyle name="Normal 171" xfId="236" xr:uid="{00000000-0005-0000-0000-0000EB000000}"/>
    <cellStyle name="Normal 172" xfId="237" xr:uid="{00000000-0005-0000-0000-0000EC000000}"/>
    <cellStyle name="Normal 173" xfId="238" xr:uid="{00000000-0005-0000-0000-0000ED000000}"/>
    <cellStyle name="Normal 174" xfId="239" xr:uid="{00000000-0005-0000-0000-0000EE000000}"/>
    <cellStyle name="Normal 175" xfId="240" xr:uid="{00000000-0005-0000-0000-0000EF000000}"/>
    <cellStyle name="Normal 176" xfId="241" xr:uid="{00000000-0005-0000-0000-0000F0000000}"/>
    <cellStyle name="Normal 177" xfId="242" xr:uid="{00000000-0005-0000-0000-0000F1000000}"/>
    <cellStyle name="Normal 178" xfId="243" xr:uid="{00000000-0005-0000-0000-0000F2000000}"/>
    <cellStyle name="Normal 179" xfId="244" xr:uid="{00000000-0005-0000-0000-0000F3000000}"/>
    <cellStyle name="Normal 18" xfId="245" xr:uid="{00000000-0005-0000-0000-0000F4000000}"/>
    <cellStyle name="Normal 18 2" xfId="246" xr:uid="{00000000-0005-0000-0000-0000F5000000}"/>
    <cellStyle name="Normal 180" xfId="247" xr:uid="{00000000-0005-0000-0000-0000F6000000}"/>
    <cellStyle name="Normal 181" xfId="248" xr:uid="{00000000-0005-0000-0000-0000F7000000}"/>
    <cellStyle name="Normal 182" xfId="249" xr:uid="{00000000-0005-0000-0000-0000F8000000}"/>
    <cellStyle name="Normal 183" xfId="250" xr:uid="{00000000-0005-0000-0000-0000F9000000}"/>
    <cellStyle name="Normal 184" xfId="251" xr:uid="{00000000-0005-0000-0000-0000FA000000}"/>
    <cellStyle name="Normal 185" xfId="252" xr:uid="{00000000-0005-0000-0000-0000FB000000}"/>
    <cellStyle name="Normal 186" xfId="253" xr:uid="{00000000-0005-0000-0000-0000FC000000}"/>
    <cellStyle name="Normal 187" xfId="254" xr:uid="{00000000-0005-0000-0000-0000FD000000}"/>
    <cellStyle name="Normal 188" xfId="255" xr:uid="{00000000-0005-0000-0000-0000FE000000}"/>
    <cellStyle name="Normal 189" xfId="256" xr:uid="{00000000-0005-0000-0000-0000FF000000}"/>
    <cellStyle name="Normal 19" xfId="257" xr:uid="{00000000-0005-0000-0000-000000010000}"/>
    <cellStyle name="Normal 19 2" xfId="258" xr:uid="{00000000-0005-0000-0000-000001010000}"/>
    <cellStyle name="Normal 190" xfId="259" xr:uid="{00000000-0005-0000-0000-000002010000}"/>
    <cellStyle name="Normal 191" xfId="260" xr:uid="{00000000-0005-0000-0000-000003010000}"/>
    <cellStyle name="Normal 192" xfId="261" xr:uid="{00000000-0005-0000-0000-000004010000}"/>
    <cellStyle name="Normal 193" xfId="262" xr:uid="{00000000-0005-0000-0000-000005010000}"/>
    <cellStyle name="Normal 194" xfId="263" xr:uid="{00000000-0005-0000-0000-000006010000}"/>
    <cellStyle name="Normal 195" xfId="264" xr:uid="{00000000-0005-0000-0000-000007010000}"/>
    <cellStyle name="Normal 196" xfId="265" xr:uid="{00000000-0005-0000-0000-000008010000}"/>
    <cellStyle name="Normal 197" xfId="266" xr:uid="{00000000-0005-0000-0000-000009010000}"/>
    <cellStyle name="Normal 198" xfId="267" xr:uid="{00000000-0005-0000-0000-00000A010000}"/>
    <cellStyle name="Normal 199" xfId="268" xr:uid="{00000000-0005-0000-0000-00000B010000}"/>
    <cellStyle name="Normal 2" xfId="4" xr:uid="{00000000-0005-0000-0000-00000C010000}"/>
    <cellStyle name="Normal 2 2" xfId="269" xr:uid="{00000000-0005-0000-0000-00000D010000}"/>
    <cellStyle name="Normal 2 2 2" xfId="270" xr:uid="{00000000-0005-0000-0000-00000E010000}"/>
    <cellStyle name="Normal 2 2 3" xfId="271" xr:uid="{00000000-0005-0000-0000-00000F010000}"/>
    <cellStyle name="Normal 2 2 4" xfId="272" xr:uid="{00000000-0005-0000-0000-000010010000}"/>
    <cellStyle name="Normal 2 3" xfId="273" xr:uid="{00000000-0005-0000-0000-000011010000}"/>
    <cellStyle name="Normal 2 4" xfId="274" xr:uid="{00000000-0005-0000-0000-000012010000}"/>
    <cellStyle name="Normal 20" xfId="275" xr:uid="{00000000-0005-0000-0000-000013010000}"/>
    <cellStyle name="Normal 20 2" xfId="276" xr:uid="{00000000-0005-0000-0000-000014010000}"/>
    <cellStyle name="Normal 200" xfId="277" xr:uid="{00000000-0005-0000-0000-000015010000}"/>
    <cellStyle name="Normal 201" xfId="278" xr:uid="{00000000-0005-0000-0000-000016010000}"/>
    <cellStyle name="Normal 202" xfId="279" xr:uid="{00000000-0005-0000-0000-000017010000}"/>
    <cellStyle name="Normal 203" xfId="280" xr:uid="{00000000-0005-0000-0000-000018010000}"/>
    <cellStyle name="Normal 204" xfId="281" xr:uid="{00000000-0005-0000-0000-000019010000}"/>
    <cellStyle name="Normal 205" xfId="282" xr:uid="{00000000-0005-0000-0000-00001A010000}"/>
    <cellStyle name="Normal 206" xfId="283" xr:uid="{00000000-0005-0000-0000-00001B010000}"/>
    <cellStyle name="Normal 207" xfId="284" xr:uid="{00000000-0005-0000-0000-00001C010000}"/>
    <cellStyle name="Normal 208" xfId="285" xr:uid="{00000000-0005-0000-0000-00001D010000}"/>
    <cellStyle name="Normal 209" xfId="286" xr:uid="{00000000-0005-0000-0000-00001E010000}"/>
    <cellStyle name="Normal 21" xfId="287" xr:uid="{00000000-0005-0000-0000-00001F010000}"/>
    <cellStyle name="Normal 21 2" xfId="288" xr:uid="{00000000-0005-0000-0000-000020010000}"/>
    <cellStyle name="Normal 210" xfId="289" xr:uid="{00000000-0005-0000-0000-000021010000}"/>
    <cellStyle name="Normal 211" xfId="290" xr:uid="{00000000-0005-0000-0000-000022010000}"/>
    <cellStyle name="Normal 212" xfId="291" xr:uid="{00000000-0005-0000-0000-000023010000}"/>
    <cellStyle name="Normal 213" xfId="292" xr:uid="{00000000-0005-0000-0000-000024010000}"/>
    <cellStyle name="Normal 214" xfId="293" xr:uid="{00000000-0005-0000-0000-000025010000}"/>
    <cellStyle name="Normal 215" xfId="294" xr:uid="{00000000-0005-0000-0000-000026010000}"/>
    <cellStyle name="Normal 216" xfId="295" xr:uid="{00000000-0005-0000-0000-000027010000}"/>
    <cellStyle name="Normal 217" xfId="296" xr:uid="{00000000-0005-0000-0000-000028010000}"/>
    <cellStyle name="Normal 218" xfId="297" xr:uid="{00000000-0005-0000-0000-000029010000}"/>
    <cellStyle name="Normal 219" xfId="298" xr:uid="{00000000-0005-0000-0000-00002A010000}"/>
    <cellStyle name="Normal 22" xfId="299" xr:uid="{00000000-0005-0000-0000-00002B010000}"/>
    <cellStyle name="Normal 22 2" xfId="300" xr:uid="{00000000-0005-0000-0000-00002C010000}"/>
    <cellStyle name="Normal 220" xfId="301" xr:uid="{00000000-0005-0000-0000-00002D010000}"/>
    <cellStyle name="Normal 221" xfId="302" xr:uid="{00000000-0005-0000-0000-00002E010000}"/>
    <cellStyle name="Normal 222" xfId="303" xr:uid="{00000000-0005-0000-0000-00002F010000}"/>
    <cellStyle name="Normal 223" xfId="304" xr:uid="{00000000-0005-0000-0000-000030010000}"/>
    <cellStyle name="Normal 224" xfId="305" xr:uid="{00000000-0005-0000-0000-000031010000}"/>
    <cellStyle name="Normal 225" xfId="306" xr:uid="{00000000-0005-0000-0000-000032010000}"/>
    <cellStyle name="Normal 226" xfId="307" xr:uid="{00000000-0005-0000-0000-000033010000}"/>
    <cellStyle name="Normal 227" xfId="308" xr:uid="{00000000-0005-0000-0000-000034010000}"/>
    <cellStyle name="Normal 228" xfId="309" xr:uid="{00000000-0005-0000-0000-000035010000}"/>
    <cellStyle name="Normal 229" xfId="310" xr:uid="{00000000-0005-0000-0000-000036010000}"/>
    <cellStyle name="Normal 23" xfId="311" xr:uid="{00000000-0005-0000-0000-000037010000}"/>
    <cellStyle name="Normal 23 2" xfId="312" xr:uid="{00000000-0005-0000-0000-000038010000}"/>
    <cellStyle name="Normal 230" xfId="313" xr:uid="{00000000-0005-0000-0000-000039010000}"/>
    <cellStyle name="Normal 231" xfId="314" xr:uid="{00000000-0005-0000-0000-00003A010000}"/>
    <cellStyle name="Normal 232" xfId="315" xr:uid="{00000000-0005-0000-0000-00003B010000}"/>
    <cellStyle name="Normal 233" xfId="316" xr:uid="{00000000-0005-0000-0000-00003C010000}"/>
    <cellStyle name="Normal 234" xfId="317" xr:uid="{00000000-0005-0000-0000-00003D010000}"/>
    <cellStyle name="Normal 235" xfId="318" xr:uid="{00000000-0005-0000-0000-00003E010000}"/>
    <cellStyle name="Normal 236" xfId="319" xr:uid="{00000000-0005-0000-0000-00003F010000}"/>
    <cellStyle name="Normal 237" xfId="320" xr:uid="{00000000-0005-0000-0000-000040010000}"/>
    <cellStyle name="Normal 238" xfId="321" xr:uid="{00000000-0005-0000-0000-000041010000}"/>
    <cellStyle name="Normal 239" xfId="322" xr:uid="{00000000-0005-0000-0000-000042010000}"/>
    <cellStyle name="Normal 24" xfId="323" xr:uid="{00000000-0005-0000-0000-000043010000}"/>
    <cellStyle name="Normal 24 2" xfId="324" xr:uid="{00000000-0005-0000-0000-000044010000}"/>
    <cellStyle name="Normal 240" xfId="325" xr:uid="{00000000-0005-0000-0000-000045010000}"/>
    <cellStyle name="Normal 241" xfId="326" xr:uid="{00000000-0005-0000-0000-000046010000}"/>
    <cellStyle name="Normal 242" xfId="327" xr:uid="{00000000-0005-0000-0000-000047010000}"/>
    <cellStyle name="Normal 243" xfId="328" xr:uid="{00000000-0005-0000-0000-000048010000}"/>
    <cellStyle name="Normal 244" xfId="329" xr:uid="{00000000-0005-0000-0000-000049010000}"/>
    <cellStyle name="Normal 245" xfId="330" xr:uid="{00000000-0005-0000-0000-00004A010000}"/>
    <cellStyle name="Normal 246" xfId="331" xr:uid="{00000000-0005-0000-0000-00004B010000}"/>
    <cellStyle name="Normal 247" xfId="332" xr:uid="{00000000-0005-0000-0000-00004C010000}"/>
    <cellStyle name="Normal 248" xfId="333" xr:uid="{00000000-0005-0000-0000-00004D010000}"/>
    <cellStyle name="Normal 249" xfId="334" xr:uid="{00000000-0005-0000-0000-00004E010000}"/>
    <cellStyle name="Normal 25" xfId="335" xr:uid="{00000000-0005-0000-0000-00004F010000}"/>
    <cellStyle name="Normal 25 2" xfId="336" xr:uid="{00000000-0005-0000-0000-000050010000}"/>
    <cellStyle name="Normal 250" xfId="337" xr:uid="{00000000-0005-0000-0000-000051010000}"/>
    <cellStyle name="Normal 251" xfId="338" xr:uid="{00000000-0005-0000-0000-000052010000}"/>
    <cellStyle name="Normal 252" xfId="339" xr:uid="{00000000-0005-0000-0000-000053010000}"/>
    <cellStyle name="Normal 253" xfId="340" xr:uid="{00000000-0005-0000-0000-000054010000}"/>
    <cellStyle name="Normal 254" xfId="341" xr:uid="{00000000-0005-0000-0000-000055010000}"/>
    <cellStyle name="Normal 255" xfId="342" xr:uid="{00000000-0005-0000-0000-000056010000}"/>
    <cellStyle name="Normal 256" xfId="343" xr:uid="{00000000-0005-0000-0000-000057010000}"/>
    <cellStyle name="Normal 257" xfId="344" xr:uid="{00000000-0005-0000-0000-000058010000}"/>
    <cellStyle name="Normal 258" xfId="345" xr:uid="{00000000-0005-0000-0000-000059010000}"/>
    <cellStyle name="Normal 259" xfId="346" xr:uid="{00000000-0005-0000-0000-00005A010000}"/>
    <cellStyle name="Normal 26" xfId="347" xr:uid="{00000000-0005-0000-0000-00005B010000}"/>
    <cellStyle name="Normal 26 2" xfId="348" xr:uid="{00000000-0005-0000-0000-00005C010000}"/>
    <cellStyle name="Normal 260" xfId="349" xr:uid="{00000000-0005-0000-0000-00005D010000}"/>
    <cellStyle name="Normal 261" xfId="350" xr:uid="{00000000-0005-0000-0000-00005E010000}"/>
    <cellStyle name="Normal 262" xfId="351" xr:uid="{00000000-0005-0000-0000-00005F010000}"/>
    <cellStyle name="Normal 263" xfId="352" xr:uid="{00000000-0005-0000-0000-000060010000}"/>
    <cellStyle name="Normal 264" xfId="353" xr:uid="{00000000-0005-0000-0000-000061010000}"/>
    <cellStyle name="Normal 265" xfId="354" xr:uid="{00000000-0005-0000-0000-000062010000}"/>
    <cellStyle name="Normal 266" xfId="355" xr:uid="{00000000-0005-0000-0000-000063010000}"/>
    <cellStyle name="Normal 267" xfId="356" xr:uid="{00000000-0005-0000-0000-000064010000}"/>
    <cellStyle name="Normal 268" xfId="357" xr:uid="{00000000-0005-0000-0000-000065010000}"/>
    <cellStyle name="Normal 269" xfId="358" xr:uid="{00000000-0005-0000-0000-000066010000}"/>
    <cellStyle name="Normal 27" xfId="359" xr:uid="{00000000-0005-0000-0000-000067010000}"/>
    <cellStyle name="Normal 27 2" xfId="360" xr:uid="{00000000-0005-0000-0000-000068010000}"/>
    <cellStyle name="Normal 270" xfId="361" xr:uid="{00000000-0005-0000-0000-000069010000}"/>
    <cellStyle name="Normal 271" xfId="362" xr:uid="{00000000-0005-0000-0000-00006A010000}"/>
    <cellStyle name="Normal 272" xfId="363" xr:uid="{00000000-0005-0000-0000-00006B010000}"/>
    <cellStyle name="Normal 273" xfId="364" xr:uid="{00000000-0005-0000-0000-00006C010000}"/>
    <cellStyle name="Normal 274" xfId="365" xr:uid="{00000000-0005-0000-0000-00006D010000}"/>
    <cellStyle name="Normal 275" xfId="366" xr:uid="{00000000-0005-0000-0000-00006E010000}"/>
    <cellStyle name="Normal 276" xfId="367" xr:uid="{00000000-0005-0000-0000-00006F010000}"/>
    <cellStyle name="Normal 277" xfId="368" xr:uid="{00000000-0005-0000-0000-000070010000}"/>
    <cellStyle name="Normal 278" xfId="369" xr:uid="{00000000-0005-0000-0000-000071010000}"/>
    <cellStyle name="Normal 279" xfId="370" xr:uid="{00000000-0005-0000-0000-000072010000}"/>
    <cellStyle name="Normal 28" xfId="371" xr:uid="{00000000-0005-0000-0000-000073010000}"/>
    <cellStyle name="Normal 28 2" xfId="372" xr:uid="{00000000-0005-0000-0000-000074010000}"/>
    <cellStyle name="Normal 280" xfId="373" xr:uid="{00000000-0005-0000-0000-000075010000}"/>
    <cellStyle name="Normal 281" xfId="374" xr:uid="{00000000-0005-0000-0000-000076010000}"/>
    <cellStyle name="Normal 282" xfId="375" xr:uid="{00000000-0005-0000-0000-000077010000}"/>
    <cellStyle name="Normal 283" xfId="376" xr:uid="{00000000-0005-0000-0000-000078010000}"/>
    <cellStyle name="Normal 284" xfId="377" xr:uid="{00000000-0005-0000-0000-000079010000}"/>
    <cellStyle name="Normal 285" xfId="378" xr:uid="{00000000-0005-0000-0000-00007A010000}"/>
    <cellStyle name="Normal 286" xfId="379" xr:uid="{00000000-0005-0000-0000-00007B010000}"/>
    <cellStyle name="Normal 287" xfId="380" xr:uid="{00000000-0005-0000-0000-00007C010000}"/>
    <cellStyle name="Normal 288" xfId="381" xr:uid="{00000000-0005-0000-0000-00007D010000}"/>
    <cellStyle name="Normal 289" xfId="382" xr:uid="{00000000-0005-0000-0000-00007E010000}"/>
    <cellStyle name="Normal 29" xfId="383" xr:uid="{00000000-0005-0000-0000-00007F010000}"/>
    <cellStyle name="Normal 29 2" xfId="384" xr:uid="{00000000-0005-0000-0000-000080010000}"/>
    <cellStyle name="Normal 290" xfId="385" xr:uid="{00000000-0005-0000-0000-000081010000}"/>
    <cellStyle name="Normal 291" xfId="386" xr:uid="{00000000-0005-0000-0000-000082010000}"/>
    <cellStyle name="Normal 292" xfId="387" xr:uid="{00000000-0005-0000-0000-000083010000}"/>
    <cellStyle name="Normal 293" xfId="388" xr:uid="{00000000-0005-0000-0000-000084010000}"/>
    <cellStyle name="Normal 294" xfId="389" xr:uid="{00000000-0005-0000-0000-000085010000}"/>
    <cellStyle name="Normal 295" xfId="390" xr:uid="{00000000-0005-0000-0000-000086010000}"/>
    <cellStyle name="Normal 296" xfId="391" xr:uid="{00000000-0005-0000-0000-000087010000}"/>
    <cellStyle name="Normal 297" xfId="392" xr:uid="{00000000-0005-0000-0000-000088010000}"/>
    <cellStyle name="Normal 298" xfId="393" xr:uid="{00000000-0005-0000-0000-000089010000}"/>
    <cellStyle name="Normal 299" xfId="394" xr:uid="{00000000-0005-0000-0000-00008A010000}"/>
    <cellStyle name="Normal 3" xfId="5" xr:uid="{00000000-0005-0000-0000-00008B010000}"/>
    <cellStyle name="Normal 3 2" xfId="395" xr:uid="{00000000-0005-0000-0000-00008C010000}"/>
    <cellStyle name="Normal 3 3" xfId="396" xr:uid="{00000000-0005-0000-0000-00008D010000}"/>
    <cellStyle name="Normal 3 3 2" xfId="397" xr:uid="{00000000-0005-0000-0000-00008E010000}"/>
    <cellStyle name="Normal 3 3 3" xfId="398" xr:uid="{00000000-0005-0000-0000-00008F010000}"/>
    <cellStyle name="Normal 3 4" xfId="399" xr:uid="{00000000-0005-0000-0000-000090010000}"/>
    <cellStyle name="Normal 3 4 2" xfId="400" xr:uid="{00000000-0005-0000-0000-000091010000}"/>
    <cellStyle name="Normal 3 4 3" xfId="401" xr:uid="{00000000-0005-0000-0000-000092010000}"/>
    <cellStyle name="Normal 3 5" xfId="402" xr:uid="{00000000-0005-0000-0000-000093010000}"/>
    <cellStyle name="Normal 30" xfId="403" xr:uid="{00000000-0005-0000-0000-000094010000}"/>
    <cellStyle name="Normal 30 2" xfId="404" xr:uid="{00000000-0005-0000-0000-000095010000}"/>
    <cellStyle name="Normal 300" xfId="405" xr:uid="{00000000-0005-0000-0000-000096010000}"/>
    <cellStyle name="Normal 301" xfId="406" xr:uid="{00000000-0005-0000-0000-000097010000}"/>
    <cellStyle name="Normal 302" xfId="407" xr:uid="{00000000-0005-0000-0000-000098010000}"/>
    <cellStyle name="Normal 303" xfId="408" xr:uid="{00000000-0005-0000-0000-000099010000}"/>
    <cellStyle name="Normal 304" xfId="409" xr:uid="{00000000-0005-0000-0000-00009A010000}"/>
    <cellStyle name="Normal 305" xfId="410" xr:uid="{00000000-0005-0000-0000-00009B010000}"/>
    <cellStyle name="Normal 306" xfId="411" xr:uid="{00000000-0005-0000-0000-00009C010000}"/>
    <cellStyle name="Normal 307" xfId="412" xr:uid="{00000000-0005-0000-0000-00009D010000}"/>
    <cellStyle name="Normal 308" xfId="413" xr:uid="{00000000-0005-0000-0000-00009E010000}"/>
    <cellStyle name="Normal 309" xfId="414" xr:uid="{00000000-0005-0000-0000-00009F010000}"/>
    <cellStyle name="Normal 31" xfId="415" xr:uid="{00000000-0005-0000-0000-0000A0010000}"/>
    <cellStyle name="Normal 31 2" xfId="416" xr:uid="{00000000-0005-0000-0000-0000A1010000}"/>
    <cellStyle name="Normal 310" xfId="417" xr:uid="{00000000-0005-0000-0000-0000A2010000}"/>
    <cellStyle name="Normal 311" xfId="418" xr:uid="{00000000-0005-0000-0000-0000A3010000}"/>
    <cellStyle name="Normal 312" xfId="419" xr:uid="{00000000-0005-0000-0000-0000A4010000}"/>
    <cellStyle name="Normal 313" xfId="420" xr:uid="{00000000-0005-0000-0000-0000A5010000}"/>
    <cellStyle name="Normal 314" xfId="421" xr:uid="{00000000-0005-0000-0000-0000A6010000}"/>
    <cellStyle name="Normal 315" xfId="422" xr:uid="{00000000-0005-0000-0000-0000A7010000}"/>
    <cellStyle name="Normal 316" xfId="423" xr:uid="{00000000-0005-0000-0000-0000A8010000}"/>
    <cellStyle name="Normal 317" xfId="424" xr:uid="{00000000-0005-0000-0000-0000A9010000}"/>
    <cellStyle name="Normal 318" xfId="425" xr:uid="{00000000-0005-0000-0000-0000AA010000}"/>
    <cellStyle name="Normal 319" xfId="426" xr:uid="{00000000-0005-0000-0000-0000AB010000}"/>
    <cellStyle name="Normal 32" xfId="427" xr:uid="{00000000-0005-0000-0000-0000AC010000}"/>
    <cellStyle name="Normal 32 2" xfId="428" xr:uid="{00000000-0005-0000-0000-0000AD010000}"/>
    <cellStyle name="Normal 32 3" xfId="429" xr:uid="{00000000-0005-0000-0000-0000AE010000}"/>
    <cellStyle name="Normal 320" xfId="430" xr:uid="{00000000-0005-0000-0000-0000AF010000}"/>
    <cellStyle name="Normal 321" xfId="431" xr:uid="{00000000-0005-0000-0000-0000B0010000}"/>
    <cellStyle name="Normal 322" xfId="432" xr:uid="{00000000-0005-0000-0000-0000B1010000}"/>
    <cellStyle name="Normal 323" xfId="433" xr:uid="{00000000-0005-0000-0000-0000B2010000}"/>
    <cellStyle name="Normal 324" xfId="434" xr:uid="{00000000-0005-0000-0000-0000B3010000}"/>
    <cellStyle name="Normal 325" xfId="435" xr:uid="{00000000-0005-0000-0000-0000B4010000}"/>
    <cellStyle name="Normal 326" xfId="436" xr:uid="{00000000-0005-0000-0000-0000B5010000}"/>
    <cellStyle name="Normal 327" xfId="437" xr:uid="{00000000-0005-0000-0000-0000B6010000}"/>
    <cellStyle name="Normal 328" xfId="438" xr:uid="{00000000-0005-0000-0000-0000B7010000}"/>
    <cellStyle name="Normal 329" xfId="439" xr:uid="{00000000-0005-0000-0000-0000B8010000}"/>
    <cellStyle name="Normal 33" xfId="440" xr:uid="{00000000-0005-0000-0000-0000B9010000}"/>
    <cellStyle name="Normal 33 2" xfId="441" xr:uid="{00000000-0005-0000-0000-0000BA010000}"/>
    <cellStyle name="Normal 33 3" xfId="442" xr:uid="{00000000-0005-0000-0000-0000BB010000}"/>
    <cellStyle name="Normal 330" xfId="443" xr:uid="{00000000-0005-0000-0000-0000BC010000}"/>
    <cellStyle name="Normal 331" xfId="444" xr:uid="{00000000-0005-0000-0000-0000BD010000}"/>
    <cellStyle name="Normal 332" xfId="445" xr:uid="{00000000-0005-0000-0000-0000BE010000}"/>
    <cellStyle name="Normal 333" xfId="446" xr:uid="{00000000-0005-0000-0000-0000BF010000}"/>
    <cellStyle name="Normal 334" xfId="447" xr:uid="{00000000-0005-0000-0000-0000C0010000}"/>
    <cellStyle name="Normal 335" xfId="448" xr:uid="{00000000-0005-0000-0000-0000C1010000}"/>
    <cellStyle name="Normal 336" xfId="449" xr:uid="{00000000-0005-0000-0000-0000C2010000}"/>
    <cellStyle name="Normal 337" xfId="450" xr:uid="{00000000-0005-0000-0000-0000C3010000}"/>
    <cellStyle name="Normal 338" xfId="451" xr:uid="{00000000-0005-0000-0000-0000C4010000}"/>
    <cellStyle name="Normal 339" xfId="452" xr:uid="{00000000-0005-0000-0000-0000C5010000}"/>
    <cellStyle name="Normal 34" xfId="453" xr:uid="{00000000-0005-0000-0000-0000C6010000}"/>
    <cellStyle name="Normal 34 2" xfId="454" xr:uid="{00000000-0005-0000-0000-0000C7010000}"/>
    <cellStyle name="Normal 34 3" xfId="455" xr:uid="{00000000-0005-0000-0000-0000C8010000}"/>
    <cellStyle name="Normal 340" xfId="456" xr:uid="{00000000-0005-0000-0000-0000C9010000}"/>
    <cellStyle name="Normal 341" xfId="457" xr:uid="{00000000-0005-0000-0000-0000CA010000}"/>
    <cellStyle name="Normal 342" xfId="458" xr:uid="{00000000-0005-0000-0000-0000CB010000}"/>
    <cellStyle name="Normal 343" xfId="459" xr:uid="{00000000-0005-0000-0000-0000CC010000}"/>
    <cellStyle name="Normal 344" xfId="460" xr:uid="{00000000-0005-0000-0000-0000CD010000}"/>
    <cellStyle name="Normal 345" xfId="461" xr:uid="{00000000-0005-0000-0000-0000CE010000}"/>
    <cellStyle name="Normal 346" xfId="462" xr:uid="{00000000-0005-0000-0000-0000CF010000}"/>
    <cellStyle name="Normal 347" xfId="463" xr:uid="{00000000-0005-0000-0000-0000D0010000}"/>
    <cellStyle name="Normal 348" xfId="464" xr:uid="{00000000-0005-0000-0000-0000D1010000}"/>
    <cellStyle name="Normal 349" xfId="465" xr:uid="{00000000-0005-0000-0000-0000D2010000}"/>
    <cellStyle name="Normal 35" xfId="466" xr:uid="{00000000-0005-0000-0000-0000D3010000}"/>
    <cellStyle name="Normal 35 2" xfId="467" xr:uid="{00000000-0005-0000-0000-0000D4010000}"/>
    <cellStyle name="Normal 35 3" xfId="468" xr:uid="{00000000-0005-0000-0000-0000D5010000}"/>
    <cellStyle name="Normal 350" xfId="469" xr:uid="{00000000-0005-0000-0000-0000D6010000}"/>
    <cellStyle name="Normal 351" xfId="470" xr:uid="{00000000-0005-0000-0000-0000D7010000}"/>
    <cellStyle name="Normal 352" xfId="471" xr:uid="{00000000-0005-0000-0000-0000D8010000}"/>
    <cellStyle name="Normal 353" xfId="472" xr:uid="{00000000-0005-0000-0000-0000D9010000}"/>
    <cellStyle name="Normal 354" xfId="473" xr:uid="{00000000-0005-0000-0000-0000DA010000}"/>
    <cellStyle name="Normal 355" xfId="474" xr:uid="{00000000-0005-0000-0000-0000DB010000}"/>
    <cellStyle name="Normal 356" xfId="475" xr:uid="{00000000-0005-0000-0000-0000DC010000}"/>
    <cellStyle name="Normal 357" xfId="476" xr:uid="{00000000-0005-0000-0000-0000DD010000}"/>
    <cellStyle name="Normal 358" xfId="477" xr:uid="{00000000-0005-0000-0000-0000DE010000}"/>
    <cellStyle name="Normal 359" xfId="478" xr:uid="{00000000-0005-0000-0000-0000DF010000}"/>
    <cellStyle name="Normal 36" xfId="479" xr:uid="{00000000-0005-0000-0000-0000E0010000}"/>
    <cellStyle name="Normal 36 2" xfId="480" xr:uid="{00000000-0005-0000-0000-0000E1010000}"/>
    <cellStyle name="Normal 36 3" xfId="481" xr:uid="{00000000-0005-0000-0000-0000E2010000}"/>
    <cellStyle name="Normal 360" xfId="482" xr:uid="{00000000-0005-0000-0000-0000E3010000}"/>
    <cellStyle name="Normal 361" xfId="483" xr:uid="{00000000-0005-0000-0000-0000E4010000}"/>
    <cellStyle name="Normal 362" xfId="484" xr:uid="{00000000-0005-0000-0000-0000E5010000}"/>
    <cellStyle name="Normal 363" xfId="485" xr:uid="{00000000-0005-0000-0000-0000E6010000}"/>
    <cellStyle name="Normal 364" xfId="486" xr:uid="{00000000-0005-0000-0000-0000E7010000}"/>
    <cellStyle name="Normal 365" xfId="487" xr:uid="{00000000-0005-0000-0000-0000E8010000}"/>
    <cellStyle name="Normal 366" xfId="488" xr:uid="{00000000-0005-0000-0000-0000E9010000}"/>
    <cellStyle name="Normal 367" xfId="489" xr:uid="{00000000-0005-0000-0000-0000EA010000}"/>
    <cellStyle name="Normal 368" xfId="490" xr:uid="{00000000-0005-0000-0000-0000EB010000}"/>
    <cellStyle name="Normal 369" xfId="491" xr:uid="{00000000-0005-0000-0000-0000EC010000}"/>
    <cellStyle name="Normal 37" xfId="492" xr:uid="{00000000-0005-0000-0000-0000ED010000}"/>
    <cellStyle name="Normal 37 2" xfId="493" xr:uid="{00000000-0005-0000-0000-0000EE010000}"/>
    <cellStyle name="Normal 370" xfId="494" xr:uid="{00000000-0005-0000-0000-0000EF010000}"/>
    <cellStyle name="Normal 371" xfId="495" xr:uid="{00000000-0005-0000-0000-0000F0010000}"/>
    <cellStyle name="Normal 372" xfId="496" xr:uid="{00000000-0005-0000-0000-0000F1010000}"/>
    <cellStyle name="Normal 373" xfId="497" xr:uid="{00000000-0005-0000-0000-0000F2010000}"/>
    <cellStyle name="Normal 374" xfId="498" xr:uid="{00000000-0005-0000-0000-0000F3010000}"/>
    <cellStyle name="Normal 375" xfId="499" xr:uid="{00000000-0005-0000-0000-0000F4010000}"/>
    <cellStyle name="Normal 376" xfId="500" xr:uid="{00000000-0005-0000-0000-0000F5010000}"/>
    <cellStyle name="Normal 377" xfId="501" xr:uid="{00000000-0005-0000-0000-0000F6010000}"/>
    <cellStyle name="Normal 378" xfId="502" xr:uid="{00000000-0005-0000-0000-0000F7010000}"/>
    <cellStyle name="Normal 379" xfId="503" xr:uid="{00000000-0005-0000-0000-0000F8010000}"/>
    <cellStyle name="Normal 38" xfId="504" xr:uid="{00000000-0005-0000-0000-0000F9010000}"/>
    <cellStyle name="Normal 38 2" xfId="505" xr:uid="{00000000-0005-0000-0000-0000FA010000}"/>
    <cellStyle name="Normal 380" xfId="506" xr:uid="{00000000-0005-0000-0000-0000FB010000}"/>
    <cellStyle name="Normal 381" xfId="507" xr:uid="{00000000-0005-0000-0000-0000FC010000}"/>
    <cellStyle name="Normal 382" xfId="508" xr:uid="{00000000-0005-0000-0000-0000FD010000}"/>
    <cellStyle name="Normal 383" xfId="509" xr:uid="{00000000-0005-0000-0000-0000FE010000}"/>
    <cellStyle name="Normal 384" xfId="510" xr:uid="{00000000-0005-0000-0000-0000FF010000}"/>
    <cellStyle name="Normal 385" xfId="511" xr:uid="{00000000-0005-0000-0000-000000020000}"/>
    <cellStyle name="Normal 386" xfId="512" xr:uid="{00000000-0005-0000-0000-000001020000}"/>
    <cellStyle name="Normal 387" xfId="513" xr:uid="{00000000-0005-0000-0000-000002020000}"/>
    <cellStyle name="Normal 388" xfId="514" xr:uid="{00000000-0005-0000-0000-000003020000}"/>
    <cellStyle name="Normal 389" xfId="515" xr:uid="{00000000-0005-0000-0000-000004020000}"/>
    <cellStyle name="Normal 39" xfId="516" xr:uid="{00000000-0005-0000-0000-000005020000}"/>
    <cellStyle name="Normal 39 2" xfId="517" xr:uid="{00000000-0005-0000-0000-000006020000}"/>
    <cellStyle name="Normal 390" xfId="518" xr:uid="{00000000-0005-0000-0000-000007020000}"/>
    <cellStyle name="Normal 391" xfId="519" xr:uid="{00000000-0005-0000-0000-000008020000}"/>
    <cellStyle name="Normal 392" xfId="520" xr:uid="{00000000-0005-0000-0000-000009020000}"/>
    <cellStyle name="Normal 393" xfId="521" xr:uid="{00000000-0005-0000-0000-00000A020000}"/>
    <cellStyle name="Normal 394" xfId="522" xr:uid="{00000000-0005-0000-0000-00000B020000}"/>
    <cellStyle name="Normal 395" xfId="523" xr:uid="{00000000-0005-0000-0000-00000C020000}"/>
    <cellStyle name="Normal 396" xfId="524" xr:uid="{00000000-0005-0000-0000-00000D020000}"/>
    <cellStyle name="Normal 397" xfId="525" xr:uid="{00000000-0005-0000-0000-00000E020000}"/>
    <cellStyle name="Normal 398" xfId="526" xr:uid="{00000000-0005-0000-0000-00000F020000}"/>
    <cellStyle name="Normal 399" xfId="527" xr:uid="{00000000-0005-0000-0000-000010020000}"/>
    <cellStyle name="Normal 4" xfId="17" xr:uid="{00000000-0005-0000-0000-000011020000}"/>
    <cellStyle name="Normal 4 2" xfId="528" xr:uid="{00000000-0005-0000-0000-000012020000}"/>
    <cellStyle name="Normal 4 2 2" xfId="529" xr:uid="{00000000-0005-0000-0000-000013020000}"/>
    <cellStyle name="Normal 4 2 3" xfId="530" xr:uid="{00000000-0005-0000-0000-000014020000}"/>
    <cellStyle name="Normal 4 3" xfId="531" xr:uid="{00000000-0005-0000-0000-000015020000}"/>
    <cellStyle name="Normal 4 4" xfId="784" xr:uid="{00000000-0005-0000-0000-000016020000}"/>
    <cellStyle name="Normal 40" xfId="532" xr:uid="{00000000-0005-0000-0000-000017020000}"/>
    <cellStyle name="Normal 40 2" xfId="533" xr:uid="{00000000-0005-0000-0000-000018020000}"/>
    <cellStyle name="Normal 400" xfId="534" xr:uid="{00000000-0005-0000-0000-000019020000}"/>
    <cellStyle name="Normal 401" xfId="535" xr:uid="{00000000-0005-0000-0000-00001A020000}"/>
    <cellStyle name="Normal 402" xfId="536" xr:uid="{00000000-0005-0000-0000-00001B020000}"/>
    <cellStyle name="Normal 403" xfId="537" xr:uid="{00000000-0005-0000-0000-00001C020000}"/>
    <cellStyle name="Normal 404" xfId="538" xr:uid="{00000000-0005-0000-0000-00001D020000}"/>
    <cellStyle name="Normal 405" xfId="539" xr:uid="{00000000-0005-0000-0000-00001E020000}"/>
    <cellStyle name="Normal 406" xfId="540" xr:uid="{00000000-0005-0000-0000-00001F020000}"/>
    <cellStyle name="Normal 407" xfId="541" xr:uid="{00000000-0005-0000-0000-000020020000}"/>
    <cellStyle name="Normal 408" xfId="542" xr:uid="{00000000-0005-0000-0000-000021020000}"/>
    <cellStyle name="Normal 409" xfId="543" xr:uid="{00000000-0005-0000-0000-000022020000}"/>
    <cellStyle name="Normal 41" xfId="544" xr:uid="{00000000-0005-0000-0000-000023020000}"/>
    <cellStyle name="Normal 41 2" xfId="545" xr:uid="{00000000-0005-0000-0000-000024020000}"/>
    <cellStyle name="Normal 410" xfId="546" xr:uid="{00000000-0005-0000-0000-000025020000}"/>
    <cellStyle name="Normal 411" xfId="547" xr:uid="{00000000-0005-0000-0000-000026020000}"/>
    <cellStyle name="Normal 412" xfId="548" xr:uid="{00000000-0005-0000-0000-000027020000}"/>
    <cellStyle name="Normal 413" xfId="549" xr:uid="{00000000-0005-0000-0000-000028020000}"/>
    <cellStyle name="Normal 414" xfId="550" xr:uid="{00000000-0005-0000-0000-000029020000}"/>
    <cellStyle name="Normal 415" xfId="551" xr:uid="{00000000-0005-0000-0000-00002A020000}"/>
    <cellStyle name="Normal 416" xfId="552" xr:uid="{00000000-0005-0000-0000-00002B020000}"/>
    <cellStyle name="Normal 417" xfId="553" xr:uid="{00000000-0005-0000-0000-00002C020000}"/>
    <cellStyle name="Normal 418" xfId="554" xr:uid="{00000000-0005-0000-0000-00002D020000}"/>
    <cellStyle name="Normal 419" xfId="555" xr:uid="{00000000-0005-0000-0000-00002E020000}"/>
    <cellStyle name="Normal 42" xfId="556" xr:uid="{00000000-0005-0000-0000-00002F020000}"/>
    <cellStyle name="Normal 42 2" xfId="557" xr:uid="{00000000-0005-0000-0000-000030020000}"/>
    <cellStyle name="Normal 420" xfId="558" xr:uid="{00000000-0005-0000-0000-000031020000}"/>
    <cellStyle name="Normal 421" xfId="559" xr:uid="{00000000-0005-0000-0000-000032020000}"/>
    <cellStyle name="Normal 422" xfId="560" xr:uid="{00000000-0005-0000-0000-000033020000}"/>
    <cellStyle name="Normal 423" xfId="561" xr:uid="{00000000-0005-0000-0000-000034020000}"/>
    <cellStyle name="Normal 424" xfId="562" xr:uid="{00000000-0005-0000-0000-000035020000}"/>
    <cellStyle name="Normal 425" xfId="563" xr:uid="{00000000-0005-0000-0000-000036020000}"/>
    <cellStyle name="Normal 426" xfId="564" xr:uid="{00000000-0005-0000-0000-000037020000}"/>
    <cellStyle name="Normal 427" xfId="565" xr:uid="{00000000-0005-0000-0000-000038020000}"/>
    <cellStyle name="Normal 428" xfId="566" xr:uid="{00000000-0005-0000-0000-000039020000}"/>
    <cellStyle name="Normal 429" xfId="567" xr:uid="{00000000-0005-0000-0000-00003A020000}"/>
    <cellStyle name="Normal 43" xfId="568" xr:uid="{00000000-0005-0000-0000-00003B020000}"/>
    <cellStyle name="Normal 43 2" xfId="569" xr:uid="{00000000-0005-0000-0000-00003C020000}"/>
    <cellStyle name="Normal 430" xfId="570" xr:uid="{00000000-0005-0000-0000-00003D020000}"/>
    <cellStyle name="Normal 431" xfId="571" xr:uid="{00000000-0005-0000-0000-00003E020000}"/>
    <cellStyle name="Normal 432" xfId="572" xr:uid="{00000000-0005-0000-0000-00003F020000}"/>
    <cellStyle name="Normal 433" xfId="573" xr:uid="{00000000-0005-0000-0000-000040020000}"/>
    <cellStyle name="Normal 434" xfId="574" xr:uid="{00000000-0005-0000-0000-000041020000}"/>
    <cellStyle name="Normal 435" xfId="575" xr:uid="{00000000-0005-0000-0000-000042020000}"/>
    <cellStyle name="Normal 436" xfId="576" xr:uid="{00000000-0005-0000-0000-000043020000}"/>
    <cellStyle name="Normal 437" xfId="577" xr:uid="{00000000-0005-0000-0000-000044020000}"/>
    <cellStyle name="Normal 438" xfId="578" xr:uid="{00000000-0005-0000-0000-000045020000}"/>
    <cellStyle name="Normal 439" xfId="579" xr:uid="{00000000-0005-0000-0000-000046020000}"/>
    <cellStyle name="Normal 44" xfId="580" xr:uid="{00000000-0005-0000-0000-000047020000}"/>
    <cellStyle name="Normal 44 2" xfId="581" xr:uid="{00000000-0005-0000-0000-000048020000}"/>
    <cellStyle name="Normal 440" xfId="582" xr:uid="{00000000-0005-0000-0000-000049020000}"/>
    <cellStyle name="Normal 441" xfId="583" xr:uid="{00000000-0005-0000-0000-00004A020000}"/>
    <cellStyle name="Normal 442" xfId="584" xr:uid="{00000000-0005-0000-0000-00004B020000}"/>
    <cellStyle name="Normal 443" xfId="585" xr:uid="{00000000-0005-0000-0000-00004C020000}"/>
    <cellStyle name="Normal 444" xfId="586" xr:uid="{00000000-0005-0000-0000-00004D020000}"/>
    <cellStyle name="Normal 445" xfId="587" xr:uid="{00000000-0005-0000-0000-00004E020000}"/>
    <cellStyle name="Normal 446" xfId="588" xr:uid="{00000000-0005-0000-0000-00004F020000}"/>
    <cellStyle name="Normal 447" xfId="589" xr:uid="{00000000-0005-0000-0000-000050020000}"/>
    <cellStyle name="Normal 448" xfId="590" xr:uid="{00000000-0005-0000-0000-000051020000}"/>
    <cellStyle name="Normal 449" xfId="591" xr:uid="{00000000-0005-0000-0000-000052020000}"/>
    <cellStyle name="Normal 45" xfId="592" xr:uid="{00000000-0005-0000-0000-000053020000}"/>
    <cellStyle name="Normal 45 2" xfId="593" xr:uid="{00000000-0005-0000-0000-000054020000}"/>
    <cellStyle name="Normal 450" xfId="594" xr:uid="{00000000-0005-0000-0000-000055020000}"/>
    <cellStyle name="Normal 451" xfId="595" xr:uid="{00000000-0005-0000-0000-000056020000}"/>
    <cellStyle name="Normal 452" xfId="596" xr:uid="{00000000-0005-0000-0000-000057020000}"/>
    <cellStyle name="Normal 453" xfId="597" xr:uid="{00000000-0005-0000-0000-000058020000}"/>
    <cellStyle name="Normal 454" xfId="598" xr:uid="{00000000-0005-0000-0000-000059020000}"/>
    <cellStyle name="Normal 455" xfId="599" xr:uid="{00000000-0005-0000-0000-00005A020000}"/>
    <cellStyle name="Normal 456" xfId="600" xr:uid="{00000000-0005-0000-0000-00005B020000}"/>
    <cellStyle name="Normal 457" xfId="601" xr:uid="{00000000-0005-0000-0000-00005C020000}"/>
    <cellStyle name="Normal 458" xfId="602" xr:uid="{00000000-0005-0000-0000-00005D020000}"/>
    <cellStyle name="Normal 459" xfId="603" xr:uid="{00000000-0005-0000-0000-00005E020000}"/>
    <cellStyle name="Normal 46" xfId="604" xr:uid="{00000000-0005-0000-0000-00005F020000}"/>
    <cellStyle name="Normal 46 2" xfId="605" xr:uid="{00000000-0005-0000-0000-000060020000}"/>
    <cellStyle name="Normal 460" xfId="606" xr:uid="{00000000-0005-0000-0000-000061020000}"/>
    <cellStyle name="Normal 461" xfId="607" xr:uid="{00000000-0005-0000-0000-000062020000}"/>
    <cellStyle name="Normal 462" xfId="608" xr:uid="{00000000-0005-0000-0000-000063020000}"/>
    <cellStyle name="Normal 463" xfId="609" xr:uid="{00000000-0005-0000-0000-000064020000}"/>
    <cellStyle name="Normal 464" xfId="21" xr:uid="{00000000-0005-0000-0000-000065020000}"/>
    <cellStyle name="Normal 465" xfId="19" xr:uid="{00000000-0005-0000-0000-000066020000}"/>
    <cellStyle name="Normal 466" xfId="610" xr:uid="{00000000-0005-0000-0000-000067020000}"/>
    <cellStyle name="Normal 467" xfId="611" xr:uid="{00000000-0005-0000-0000-000068020000}"/>
    <cellStyle name="Normal 468" xfId="20" xr:uid="{00000000-0005-0000-0000-000069020000}"/>
    <cellStyle name="Normal 469" xfId="18" xr:uid="{00000000-0005-0000-0000-00006A020000}"/>
    <cellStyle name="Normal 47" xfId="612" xr:uid="{00000000-0005-0000-0000-00006B020000}"/>
    <cellStyle name="Normal 47 2" xfId="613" xr:uid="{00000000-0005-0000-0000-00006C020000}"/>
    <cellStyle name="Normal 470" xfId="614" xr:uid="{00000000-0005-0000-0000-00006D020000}"/>
    <cellStyle name="Normal 471" xfId="615" xr:uid="{00000000-0005-0000-0000-00006E020000}"/>
    <cellStyle name="Normal 472" xfId="616" xr:uid="{00000000-0005-0000-0000-00006F020000}"/>
    <cellStyle name="Normal 473" xfId="617" xr:uid="{00000000-0005-0000-0000-000070020000}"/>
    <cellStyle name="Normal 474" xfId="618" xr:uid="{00000000-0005-0000-0000-000071020000}"/>
    <cellStyle name="Normal 475" xfId="619" xr:uid="{00000000-0005-0000-0000-000072020000}"/>
    <cellStyle name="Normal 476" xfId="620" xr:uid="{00000000-0005-0000-0000-000073020000}"/>
    <cellStyle name="Normal 477" xfId="621" xr:uid="{00000000-0005-0000-0000-000074020000}"/>
    <cellStyle name="Normal 478" xfId="622" xr:uid="{00000000-0005-0000-0000-000075020000}"/>
    <cellStyle name="Normal 479" xfId="798" xr:uid="{00000000-0005-0000-0000-000076020000}"/>
    <cellStyle name="Normal 48" xfId="623" xr:uid="{00000000-0005-0000-0000-000077020000}"/>
    <cellStyle name="Normal 48 2" xfId="624" xr:uid="{00000000-0005-0000-0000-000078020000}"/>
    <cellStyle name="Normal 480" xfId="799" xr:uid="{00000000-0005-0000-0000-000079020000}"/>
    <cellStyle name="Normal 481" xfId="801" xr:uid="{00000000-0005-0000-0000-00007A020000}"/>
    <cellStyle name="Normal 482" xfId="802" xr:uid="{00000000-0005-0000-0000-00007B020000}"/>
    <cellStyle name="Normal 483" xfId="803" xr:uid="{00000000-0005-0000-0000-00007C020000}"/>
    <cellStyle name="Normal 484" xfId="804" xr:uid="{00000000-0005-0000-0000-00007D020000}"/>
    <cellStyle name="Normal 485" xfId="805" xr:uid="{00000000-0005-0000-0000-00007E020000}"/>
    <cellStyle name="Normal 486" xfId="806" xr:uid="{00000000-0005-0000-0000-00007F020000}"/>
    <cellStyle name="Normal 487" xfId="807" xr:uid="{00000000-0005-0000-0000-000080020000}"/>
    <cellStyle name="Normal 488" xfId="808" xr:uid="{00000000-0005-0000-0000-000081020000}"/>
    <cellStyle name="Normal 489" xfId="809" xr:uid="{00000000-0005-0000-0000-000082020000}"/>
    <cellStyle name="Normal 49" xfId="625" xr:uid="{00000000-0005-0000-0000-000083020000}"/>
    <cellStyle name="Normal 49 2" xfId="626" xr:uid="{00000000-0005-0000-0000-000084020000}"/>
    <cellStyle name="Normal 490" xfId="810" xr:uid="{00000000-0005-0000-0000-000085020000}"/>
    <cellStyle name="Normal 491" xfId="811" xr:uid="{00000000-0005-0000-0000-000086020000}"/>
    <cellStyle name="Normal 492" xfId="812" xr:uid="{00000000-0005-0000-0000-000087020000}"/>
    <cellStyle name="Normal 493" xfId="813" xr:uid="{00000000-0005-0000-0000-000088020000}"/>
    <cellStyle name="Normal 494" xfId="814" xr:uid="{00000000-0005-0000-0000-000089020000}"/>
    <cellStyle name="Normal 5" xfId="627" xr:uid="{00000000-0005-0000-0000-00008A020000}"/>
    <cellStyle name="Normal 50" xfId="628" xr:uid="{00000000-0005-0000-0000-00008B020000}"/>
    <cellStyle name="Normal 50 2" xfId="629" xr:uid="{00000000-0005-0000-0000-00008C020000}"/>
    <cellStyle name="Normal 51" xfId="630" xr:uid="{00000000-0005-0000-0000-00008D020000}"/>
    <cellStyle name="Normal 51 2" xfId="631" xr:uid="{00000000-0005-0000-0000-00008E020000}"/>
    <cellStyle name="Normal 52" xfId="632" xr:uid="{00000000-0005-0000-0000-00008F020000}"/>
    <cellStyle name="Normal 52 2" xfId="633" xr:uid="{00000000-0005-0000-0000-000090020000}"/>
    <cellStyle name="Normal 53" xfId="634" xr:uid="{00000000-0005-0000-0000-000091020000}"/>
    <cellStyle name="Normal 53 2" xfId="635" xr:uid="{00000000-0005-0000-0000-000092020000}"/>
    <cellStyle name="Normal 54" xfId="636" xr:uid="{00000000-0005-0000-0000-000093020000}"/>
    <cellStyle name="Normal 54 2" xfId="637" xr:uid="{00000000-0005-0000-0000-000094020000}"/>
    <cellStyle name="Normal 55" xfId="638" xr:uid="{00000000-0005-0000-0000-000095020000}"/>
    <cellStyle name="Normal 55 2" xfId="639" xr:uid="{00000000-0005-0000-0000-000096020000}"/>
    <cellStyle name="Normal 56" xfId="640" xr:uid="{00000000-0005-0000-0000-000097020000}"/>
    <cellStyle name="Normal 56 2" xfId="641" xr:uid="{00000000-0005-0000-0000-000098020000}"/>
    <cellStyle name="Normal 57" xfId="642" xr:uid="{00000000-0005-0000-0000-000099020000}"/>
    <cellStyle name="Normal 57 2" xfId="643" xr:uid="{00000000-0005-0000-0000-00009A020000}"/>
    <cellStyle name="Normal 58" xfId="644" xr:uid="{00000000-0005-0000-0000-00009B020000}"/>
    <cellStyle name="Normal 58 2" xfId="645" xr:uid="{00000000-0005-0000-0000-00009C020000}"/>
    <cellStyle name="Normal 59" xfId="646" xr:uid="{00000000-0005-0000-0000-00009D020000}"/>
    <cellStyle name="Normal 59 2" xfId="647" xr:uid="{00000000-0005-0000-0000-00009E020000}"/>
    <cellStyle name="Normal 6" xfId="648" xr:uid="{00000000-0005-0000-0000-00009F020000}"/>
    <cellStyle name="Normal 6 2" xfId="649" xr:uid="{00000000-0005-0000-0000-0000A0020000}"/>
    <cellStyle name="Normal 6 2 2" xfId="650" xr:uid="{00000000-0005-0000-0000-0000A1020000}"/>
    <cellStyle name="Normal 6 3" xfId="651" xr:uid="{00000000-0005-0000-0000-0000A2020000}"/>
    <cellStyle name="Normal 60" xfId="652" xr:uid="{00000000-0005-0000-0000-0000A3020000}"/>
    <cellStyle name="Normal 60 2" xfId="653" xr:uid="{00000000-0005-0000-0000-0000A4020000}"/>
    <cellStyle name="Normal 61" xfId="654" xr:uid="{00000000-0005-0000-0000-0000A5020000}"/>
    <cellStyle name="Normal 61 2" xfId="655" xr:uid="{00000000-0005-0000-0000-0000A6020000}"/>
    <cellStyle name="Normal 62" xfId="656" xr:uid="{00000000-0005-0000-0000-0000A7020000}"/>
    <cellStyle name="Normal 62 2" xfId="657" xr:uid="{00000000-0005-0000-0000-0000A8020000}"/>
    <cellStyle name="Normal 63" xfId="658" xr:uid="{00000000-0005-0000-0000-0000A9020000}"/>
    <cellStyle name="Normal 64" xfId="659" xr:uid="{00000000-0005-0000-0000-0000AA020000}"/>
    <cellStyle name="Normal 65" xfId="660" xr:uid="{00000000-0005-0000-0000-0000AB020000}"/>
    <cellStyle name="Normal 66" xfId="661" xr:uid="{00000000-0005-0000-0000-0000AC020000}"/>
    <cellStyle name="Normal 67" xfId="662" xr:uid="{00000000-0005-0000-0000-0000AD020000}"/>
    <cellStyle name="Normal 68" xfId="663" xr:uid="{00000000-0005-0000-0000-0000AE020000}"/>
    <cellStyle name="Normal 69" xfId="664" xr:uid="{00000000-0005-0000-0000-0000AF020000}"/>
    <cellStyle name="Normal 7" xfId="665" xr:uid="{00000000-0005-0000-0000-0000B0020000}"/>
    <cellStyle name="Normal 7 2" xfId="666" xr:uid="{00000000-0005-0000-0000-0000B1020000}"/>
    <cellStyle name="Normal 7 3" xfId="667" xr:uid="{00000000-0005-0000-0000-0000B2020000}"/>
    <cellStyle name="Normal 70" xfId="668" xr:uid="{00000000-0005-0000-0000-0000B3020000}"/>
    <cellStyle name="Normal 71" xfId="669" xr:uid="{00000000-0005-0000-0000-0000B4020000}"/>
    <cellStyle name="Normal 72" xfId="670" xr:uid="{00000000-0005-0000-0000-0000B5020000}"/>
    <cellStyle name="Normal 73" xfId="671" xr:uid="{00000000-0005-0000-0000-0000B6020000}"/>
    <cellStyle name="Normal 74" xfId="672" xr:uid="{00000000-0005-0000-0000-0000B7020000}"/>
    <cellStyle name="Normal 75" xfId="673" xr:uid="{00000000-0005-0000-0000-0000B8020000}"/>
    <cellStyle name="Normal 76" xfId="674" xr:uid="{00000000-0005-0000-0000-0000B9020000}"/>
    <cellStyle name="Normal 77" xfId="675" xr:uid="{00000000-0005-0000-0000-0000BA020000}"/>
    <cellStyle name="Normal 78" xfId="676" xr:uid="{00000000-0005-0000-0000-0000BB020000}"/>
    <cellStyle name="Normal 79" xfId="677" xr:uid="{00000000-0005-0000-0000-0000BC020000}"/>
    <cellStyle name="Normal 8" xfId="678" xr:uid="{00000000-0005-0000-0000-0000BD020000}"/>
    <cellStyle name="Normal 8 2" xfId="679" xr:uid="{00000000-0005-0000-0000-0000BE020000}"/>
    <cellStyle name="Normal 8 3" xfId="680" xr:uid="{00000000-0005-0000-0000-0000BF020000}"/>
    <cellStyle name="Normal 80" xfId="681" xr:uid="{00000000-0005-0000-0000-0000C0020000}"/>
    <cellStyle name="Normal 81" xfId="682" xr:uid="{00000000-0005-0000-0000-0000C1020000}"/>
    <cellStyle name="Normal 82" xfId="683" xr:uid="{00000000-0005-0000-0000-0000C2020000}"/>
    <cellStyle name="Normal 83" xfId="684" xr:uid="{00000000-0005-0000-0000-0000C3020000}"/>
    <cellStyle name="Normal 84" xfId="685" xr:uid="{00000000-0005-0000-0000-0000C4020000}"/>
    <cellStyle name="Normal 85" xfId="686" xr:uid="{00000000-0005-0000-0000-0000C5020000}"/>
    <cellStyle name="Normal 86" xfId="687" xr:uid="{00000000-0005-0000-0000-0000C6020000}"/>
    <cellStyle name="Normal 87" xfId="688" xr:uid="{00000000-0005-0000-0000-0000C7020000}"/>
    <cellStyle name="Normal 88" xfId="689" xr:uid="{00000000-0005-0000-0000-0000C8020000}"/>
    <cellStyle name="Normal 89" xfId="690" xr:uid="{00000000-0005-0000-0000-0000C9020000}"/>
    <cellStyle name="Normal 9" xfId="691" xr:uid="{00000000-0005-0000-0000-0000CA020000}"/>
    <cellStyle name="Normal 9 2" xfId="692" xr:uid="{00000000-0005-0000-0000-0000CB020000}"/>
    <cellStyle name="Normal 9 3" xfId="693" xr:uid="{00000000-0005-0000-0000-0000CC020000}"/>
    <cellStyle name="Normal 90" xfId="694" xr:uid="{00000000-0005-0000-0000-0000CD020000}"/>
    <cellStyle name="Normal 91" xfId="695" xr:uid="{00000000-0005-0000-0000-0000CE020000}"/>
    <cellStyle name="Normal 92" xfId="696" xr:uid="{00000000-0005-0000-0000-0000CF020000}"/>
    <cellStyle name="Normal 93" xfId="697" xr:uid="{00000000-0005-0000-0000-0000D0020000}"/>
    <cellStyle name="Normal 94" xfId="698" xr:uid="{00000000-0005-0000-0000-0000D1020000}"/>
    <cellStyle name="Normal 95" xfId="699" xr:uid="{00000000-0005-0000-0000-0000D2020000}"/>
    <cellStyle name="Normal 96" xfId="700" xr:uid="{00000000-0005-0000-0000-0000D3020000}"/>
    <cellStyle name="Normal 97" xfId="701" xr:uid="{00000000-0005-0000-0000-0000D4020000}"/>
    <cellStyle name="Normal 98" xfId="702" xr:uid="{00000000-0005-0000-0000-0000D5020000}"/>
    <cellStyle name="Normal 99" xfId="703" xr:uid="{00000000-0005-0000-0000-0000D6020000}"/>
    <cellStyle name="Note 2" xfId="704" xr:uid="{00000000-0005-0000-0000-0000D8020000}"/>
    <cellStyle name="Note 2 2" xfId="705" xr:uid="{00000000-0005-0000-0000-0000D9020000}"/>
    <cellStyle name="Note 2 2 2" xfId="790" xr:uid="{00000000-0005-0000-0000-0000DA020000}"/>
    <cellStyle name="Note 2 3" xfId="706" xr:uid="{00000000-0005-0000-0000-0000DB020000}"/>
    <cellStyle name="Note 2 3 2" xfId="791" xr:uid="{00000000-0005-0000-0000-0000DC020000}"/>
    <cellStyle name="Note 2 4" xfId="789" xr:uid="{00000000-0005-0000-0000-0000DD020000}"/>
    <cellStyle name="Note 3" xfId="800" xr:uid="{00000000-0005-0000-0000-0000DE020000}"/>
    <cellStyle name="OddBodyShade" xfId="707" xr:uid="{00000000-0005-0000-0000-0000DF020000}"/>
    <cellStyle name="Output 2" xfId="708" xr:uid="{00000000-0005-0000-0000-0000E0020000}"/>
    <cellStyle name="Output 2 2" xfId="709" xr:uid="{00000000-0005-0000-0000-0000E1020000}"/>
    <cellStyle name="Output 2 2 2" xfId="793" xr:uid="{00000000-0005-0000-0000-0000E2020000}"/>
    <cellStyle name="Output 2 3" xfId="710" xr:uid="{00000000-0005-0000-0000-0000E3020000}"/>
    <cellStyle name="Output 2 3 2" xfId="794" xr:uid="{00000000-0005-0000-0000-0000E4020000}"/>
    <cellStyle name="Output 2 4" xfId="792" xr:uid="{00000000-0005-0000-0000-0000E5020000}"/>
    <cellStyle name="Overscore" xfId="711" xr:uid="{00000000-0005-0000-0000-0000E6020000}"/>
    <cellStyle name="Overscore 2" xfId="712" xr:uid="{00000000-0005-0000-0000-0000E7020000}"/>
    <cellStyle name="Overunder" xfId="713" xr:uid="{00000000-0005-0000-0000-0000E8020000}"/>
    <cellStyle name="Overunder 2" xfId="714" xr:uid="{00000000-0005-0000-0000-0000E9020000}"/>
    <cellStyle name="Overunder 2 2" xfId="715" xr:uid="{00000000-0005-0000-0000-0000EA020000}"/>
    <cellStyle name="Overunder 2 3" xfId="716" xr:uid="{00000000-0005-0000-0000-0000EB020000}"/>
    <cellStyle name="P" xfId="717" xr:uid="{00000000-0005-0000-0000-0000EC020000}"/>
    <cellStyle name="P 2" xfId="718" xr:uid="{00000000-0005-0000-0000-0000ED020000}"/>
    <cellStyle name="Percent" xfId="3" builtinId="5"/>
    <cellStyle name="Percent [2]" xfId="719" xr:uid="{00000000-0005-0000-0000-0000EF020000}"/>
    <cellStyle name="Percent [2] 2" xfId="720" xr:uid="{00000000-0005-0000-0000-0000F0020000}"/>
    <cellStyle name="Percent [2] 3" xfId="721" xr:uid="{00000000-0005-0000-0000-0000F1020000}"/>
    <cellStyle name="Percent 10" xfId="722" xr:uid="{00000000-0005-0000-0000-0000F2020000}"/>
    <cellStyle name="Percent 11" xfId="723" xr:uid="{00000000-0005-0000-0000-0000F3020000}"/>
    <cellStyle name="Percent 12" xfId="724" xr:uid="{00000000-0005-0000-0000-0000F4020000}"/>
    <cellStyle name="Percent 13" xfId="725" xr:uid="{00000000-0005-0000-0000-0000F5020000}"/>
    <cellStyle name="Percent 14" xfId="726" xr:uid="{00000000-0005-0000-0000-0000F6020000}"/>
    <cellStyle name="Percent 15" xfId="727" xr:uid="{00000000-0005-0000-0000-0000F7020000}"/>
    <cellStyle name="Percent 16" xfId="728" xr:uid="{00000000-0005-0000-0000-0000F8020000}"/>
    <cellStyle name="Percent 17" xfId="729" xr:uid="{00000000-0005-0000-0000-0000F9020000}"/>
    <cellStyle name="Percent 18" xfId="730" xr:uid="{00000000-0005-0000-0000-0000FA020000}"/>
    <cellStyle name="Percent 19" xfId="731" xr:uid="{00000000-0005-0000-0000-0000FB020000}"/>
    <cellStyle name="Percent 2" xfId="15" xr:uid="{00000000-0005-0000-0000-0000FC020000}"/>
    <cellStyle name="Percent 2 2" xfId="732" xr:uid="{00000000-0005-0000-0000-0000FD020000}"/>
    <cellStyle name="Percent 2 3" xfId="733" xr:uid="{00000000-0005-0000-0000-0000FE020000}"/>
    <cellStyle name="Percent 2 4" xfId="734" xr:uid="{00000000-0005-0000-0000-0000FF020000}"/>
    <cellStyle name="Percent 3" xfId="14" xr:uid="{00000000-0005-0000-0000-000000030000}"/>
    <cellStyle name="Percent 3 2" xfId="735" xr:uid="{00000000-0005-0000-0000-000001030000}"/>
    <cellStyle name="Percent 3 3" xfId="736" xr:uid="{00000000-0005-0000-0000-000002030000}"/>
    <cellStyle name="Percent 4" xfId="737" xr:uid="{00000000-0005-0000-0000-000003030000}"/>
    <cellStyle name="Percent 4 2" xfId="738" xr:uid="{00000000-0005-0000-0000-000004030000}"/>
    <cellStyle name="Percent 4 3" xfId="739" xr:uid="{00000000-0005-0000-0000-000005030000}"/>
    <cellStyle name="Percent 5" xfId="740" xr:uid="{00000000-0005-0000-0000-000006030000}"/>
    <cellStyle name="Percent 6" xfId="741" xr:uid="{00000000-0005-0000-0000-000007030000}"/>
    <cellStyle name="Percent 7" xfId="742" xr:uid="{00000000-0005-0000-0000-000008030000}"/>
    <cellStyle name="Percent 8" xfId="743" xr:uid="{00000000-0005-0000-0000-000009030000}"/>
    <cellStyle name="Percent 9" xfId="744" xr:uid="{00000000-0005-0000-0000-00000A030000}"/>
    <cellStyle name="PercentExpense" xfId="16" xr:uid="{00000000-0005-0000-0000-00000B030000}"/>
    <cellStyle name="Porcentaje" xfId="745" xr:uid="{00000000-0005-0000-0000-00000C030000}"/>
    <cellStyle name="Reg1" xfId="746" xr:uid="{00000000-0005-0000-0000-00000D030000}"/>
    <cellStyle name="Reg2" xfId="747" xr:uid="{00000000-0005-0000-0000-00000E030000}"/>
    <cellStyle name="Reg3" xfId="748" xr:uid="{00000000-0005-0000-0000-00000F030000}"/>
    <cellStyle name="Reg4" xfId="749" xr:uid="{00000000-0005-0000-0000-000010030000}"/>
    <cellStyle name="Reg5" xfId="750" xr:uid="{00000000-0005-0000-0000-000011030000}"/>
    <cellStyle name="Reg6" xfId="751" xr:uid="{00000000-0005-0000-0000-000012030000}"/>
    <cellStyle name="Reg7" xfId="752" xr:uid="{00000000-0005-0000-0000-000013030000}"/>
    <cellStyle name="Reg8" xfId="753" xr:uid="{00000000-0005-0000-0000-000014030000}"/>
    <cellStyle name="Reg9" xfId="754" xr:uid="{00000000-0005-0000-0000-000015030000}"/>
    <cellStyle name="RM" xfId="755" xr:uid="{00000000-0005-0000-0000-000016030000}"/>
    <cellStyle name="SpecialHeader" xfId="756" xr:uid="{00000000-0005-0000-0000-000017030000}"/>
    <cellStyle name="STYLE1 - Style1" xfId="757" xr:uid="{00000000-0005-0000-0000-000018030000}"/>
    <cellStyle name="STYLE2 - Style2" xfId="758" xr:uid="{00000000-0005-0000-0000-000019030000}"/>
    <cellStyle name="STYLE3 - Style3" xfId="759" xr:uid="{00000000-0005-0000-0000-00001A030000}"/>
    <cellStyle name="STYLE4 - Style4" xfId="760" xr:uid="{00000000-0005-0000-0000-00001B030000}"/>
    <cellStyle name="SubHeader" xfId="761" xr:uid="{00000000-0005-0000-0000-00001C030000}"/>
    <cellStyle name="SubTotal" xfId="762" xr:uid="{00000000-0005-0000-0000-00001D030000}"/>
    <cellStyle name="T" xfId="763" xr:uid="{00000000-0005-0000-0000-00001E030000}"/>
    <cellStyle name="TIME" xfId="764" xr:uid="{00000000-0005-0000-0000-00001F030000}"/>
    <cellStyle name="Title 2" xfId="765" xr:uid="{00000000-0005-0000-0000-000020030000}"/>
    <cellStyle name="Title1" xfId="766" xr:uid="{00000000-0005-0000-0000-000021030000}"/>
    <cellStyle name="TitleOther" xfId="767" xr:uid="{00000000-0005-0000-0000-000022030000}"/>
    <cellStyle name="Total 2" xfId="768" xr:uid="{00000000-0005-0000-0000-000023030000}"/>
    <cellStyle name="Total 2 2" xfId="769" xr:uid="{00000000-0005-0000-0000-000024030000}"/>
    <cellStyle name="Total 2 2 2" xfId="796" xr:uid="{00000000-0005-0000-0000-000025030000}"/>
    <cellStyle name="Total 2 3" xfId="770" xr:uid="{00000000-0005-0000-0000-000026030000}"/>
    <cellStyle name="Total 2 3 2" xfId="797" xr:uid="{00000000-0005-0000-0000-000027030000}"/>
    <cellStyle name="Total 2 4" xfId="795" xr:uid="{00000000-0005-0000-0000-000028030000}"/>
    <cellStyle name="Total1" xfId="771" xr:uid="{00000000-0005-0000-0000-000029030000}"/>
    <cellStyle name="Total2" xfId="772" xr:uid="{00000000-0005-0000-0000-00002A030000}"/>
    <cellStyle name="Total3" xfId="773" xr:uid="{00000000-0005-0000-0000-00002B030000}"/>
    <cellStyle name="Total4" xfId="774" xr:uid="{00000000-0005-0000-0000-00002C030000}"/>
    <cellStyle name="Total5" xfId="775" xr:uid="{00000000-0005-0000-0000-00002D030000}"/>
    <cellStyle name="Total6" xfId="776" xr:uid="{00000000-0005-0000-0000-00002E030000}"/>
    <cellStyle name="Total7" xfId="777" xr:uid="{00000000-0005-0000-0000-00002F030000}"/>
    <cellStyle name="Total8" xfId="778" xr:uid="{00000000-0005-0000-0000-000030030000}"/>
    <cellStyle name="Total9" xfId="779" xr:uid="{00000000-0005-0000-0000-000031030000}"/>
    <cellStyle name="TotShade" xfId="780" xr:uid="{00000000-0005-0000-0000-000032030000}"/>
    <cellStyle name="Underscore" xfId="781" xr:uid="{00000000-0005-0000-0000-000033030000}"/>
    <cellStyle name="Underscore 2" xfId="782" xr:uid="{00000000-0005-0000-0000-000034030000}"/>
    <cellStyle name="Warning Text 2" xfId="783" xr:uid="{00000000-0005-0000-0000-000035030000}"/>
  </cellStyles>
  <dxfs count="4">
    <dxf>
      <fill>
        <patternFill>
          <bgColor theme="0" tint="-4.9989318521683403E-2"/>
        </patternFill>
      </fill>
    </dxf>
    <dxf>
      <font>
        <color theme="0"/>
      </font>
      <fill>
        <patternFill>
          <bgColor theme="3" tint="-0.24994659260841701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</dxfs>
  <tableStyles count="3" defaultTableStyle="TableStyleMedium2" defaultPivotStyle="PivotStyleLight16">
    <tableStyle name="Table Style 1" pivot="0" count="1" xr9:uid="{00000000-0011-0000-FFFF-FFFF00000000}">
      <tableStyleElement type="secondRowStripe" dxfId="3"/>
    </tableStyle>
    <tableStyle name="Table Style 2" pivot="0" count="1" xr9:uid="{00000000-0011-0000-FFFF-FFFF01000000}">
      <tableStyleElement type="firstRowStripe" dxfId="2"/>
    </tableStyle>
    <tableStyle name="Table Style 6" pivot="0" count="2" xr9:uid="{00000000-0011-0000-FFFF-FFFF02000000}">
      <tableStyleElement type="headerRow" dxfId="1"/>
      <tableStyleElement type="secondRowStripe" dxfId="0"/>
    </tableStyle>
  </tableStyles>
  <colors>
    <mruColors>
      <color rgb="FF0000FF"/>
      <color rgb="FF1636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509359</xdr:colOff>
      <xdr:row>4</xdr:row>
      <xdr:rowOff>14263</xdr:rowOff>
    </xdr:from>
    <xdr:to>
      <xdr:col>9</xdr:col>
      <xdr:colOff>1251857</xdr:colOff>
      <xdr:row>26</xdr:row>
      <xdr:rowOff>126533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AF11416-04E8-D2D2-1429-BB64C8906E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25752" y="776263"/>
          <a:ext cx="4212320" cy="4303270"/>
        </a:xfrm>
        <a:prstGeom prst="rect">
          <a:avLst/>
        </a:prstGeom>
      </xdr:spPr>
    </xdr:pic>
    <xdr:clientData/>
  </xdr:twoCellAnchor>
  <xdr:twoCellAnchor editAs="oneCell">
    <xdr:from>
      <xdr:col>9</xdr:col>
      <xdr:colOff>1350984</xdr:colOff>
      <xdr:row>4</xdr:row>
      <xdr:rowOff>28210</xdr:rowOff>
    </xdr:from>
    <xdr:to>
      <xdr:col>19</xdr:col>
      <xdr:colOff>408216</xdr:colOff>
      <xdr:row>26</xdr:row>
      <xdr:rowOff>143263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9E01770-9565-17B6-1220-2DEF5F88A5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237198" y="790210"/>
          <a:ext cx="6962981" cy="4306053"/>
        </a:xfrm>
        <a:prstGeom prst="rect">
          <a:avLst/>
        </a:prstGeom>
      </xdr:spPr>
    </xdr:pic>
    <xdr:clientData/>
  </xdr:twoCellAnchor>
  <xdr:twoCellAnchor editAs="oneCell">
    <xdr:from>
      <xdr:col>4</xdr:col>
      <xdr:colOff>478620</xdr:colOff>
      <xdr:row>27</xdr:row>
      <xdr:rowOff>27742</xdr:rowOff>
    </xdr:from>
    <xdr:to>
      <xdr:col>19</xdr:col>
      <xdr:colOff>414619</xdr:colOff>
      <xdr:row>60</xdr:row>
      <xdr:rowOff>25675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F68DF22-03FB-A881-26E8-325E0C4B52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180238" y="5171242"/>
          <a:ext cx="11231528" cy="62844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635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405C87A-59FB-4695-AA4A-CB1E5AE1DDAE}">
  <we:reference id="c61e00ed-47d9-43e3-a1e5-db8ba3320409" version="1.0.0.0" store="developer" storeType="Registry"/>
  <we:alternateReferences/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8C5D9-0ADA-46F4-AB80-6B33E2A40047}">
  <dimension ref="C3:R104"/>
  <sheetViews>
    <sheetView topLeftCell="B65" zoomScale="85" zoomScaleNormal="85" workbookViewId="0">
      <selection activeCell="C68" sqref="C68:D104"/>
    </sheetView>
  </sheetViews>
  <sheetFormatPr defaultRowHeight="15"/>
  <cols>
    <col min="1" max="2" width="9.140625" style="70"/>
    <col min="3" max="3" width="41.140625" style="70" customWidth="1"/>
    <col min="4" max="4" width="101.140625" style="70" bestFit="1" customWidth="1"/>
    <col min="5" max="5" width="15.28515625" style="70" bestFit="1" customWidth="1"/>
    <col min="6" max="9" width="9.140625" style="70"/>
    <col min="10" max="10" width="29.42578125" style="70" bestFit="1" customWidth="1"/>
    <col min="11" max="11" width="10.5703125" style="70" bestFit="1" customWidth="1"/>
    <col min="12" max="17" width="9.140625" style="70"/>
    <col min="18" max="18" width="14.28515625" style="70" bestFit="1" customWidth="1"/>
    <col min="19" max="16384" width="9.140625" style="70"/>
  </cols>
  <sheetData>
    <row r="3" spans="3:18">
      <c r="C3" s="61" t="s">
        <v>343</v>
      </c>
    </row>
    <row r="4" spans="3:18">
      <c r="C4" s="64" t="s">
        <v>14</v>
      </c>
      <c r="D4" s="64" t="s">
        <v>344</v>
      </c>
    </row>
    <row r="5" spans="3:18">
      <c r="C5" s="70" t="s">
        <v>345</v>
      </c>
      <c r="D5" s="70" t="s">
        <v>346</v>
      </c>
    </row>
    <row r="6" spans="3:18">
      <c r="C6" s="63" t="s">
        <v>347</v>
      </c>
      <c r="D6" s="70" t="s">
        <v>15</v>
      </c>
      <c r="J6" s="1"/>
    </row>
    <row r="7" spans="3:18">
      <c r="C7" s="70" t="s">
        <v>348</v>
      </c>
      <c r="D7" s="70" t="s">
        <v>16</v>
      </c>
      <c r="J7" s="83"/>
    </row>
    <row r="8" spans="3:18">
      <c r="C8" s="70" t="s">
        <v>349</v>
      </c>
      <c r="D8" s="70" t="s">
        <v>350</v>
      </c>
      <c r="R8" s="2"/>
    </row>
    <row r="9" spans="3:18">
      <c r="C9" s="1" t="s">
        <v>351</v>
      </c>
      <c r="D9" s="1" t="s">
        <v>352</v>
      </c>
      <c r="R9" s="2"/>
    </row>
    <row r="10" spans="3:18">
      <c r="C10" s="1" t="s">
        <v>354</v>
      </c>
      <c r="D10" s="1" t="s">
        <v>353</v>
      </c>
      <c r="L10" s="71"/>
    </row>
    <row r="11" spans="3:18">
      <c r="C11" s="70" t="s">
        <v>355</v>
      </c>
      <c r="D11" s="70" t="s">
        <v>356</v>
      </c>
      <c r="K11" s="3"/>
    </row>
    <row r="12" spans="3:18">
      <c r="C12" s="70" t="s">
        <v>357</v>
      </c>
      <c r="D12" s="70" t="s">
        <v>17</v>
      </c>
      <c r="K12" s="72"/>
    </row>
    <row r="13" spans="3:18">
      <c r="C13" s="1" t="s">
        <v>358</v>
      </c>
      <c r="D13" s="1" t="s">
        <v>359</v>
      </c>
      <c r="K13" s="8"/>
    </row>
    <row r="14" spans="3:18">
      <c r="C14" s="70" t="s">
        <v>282</v>
      </c>
      <c r="D14" s="70" t="s">
        <v>360</v>
      </c>
      <c r="K14" s="8"/>
    </row>
    <row r="15" spans="3:18">
      <c r="C15" s="70" t="s">
        <v>361</v>
      </c>
      <c r="D15" s="60" t="s">
        <v>362</v>
      </c>
    </row>
    <row r="16" spans="3:18">
      <c r="C16" s="70" t="s">
        <v>13</v>
      </c>
      <c r="D16" s="70" t="s">
        <v>363</v>
      </c>
      <c r="K16" s="71"/>
    </row>
    <row r="17" spans="3:5">
      <c r="C17" s="70" t="s">
        <v>364</v>
      </c>
      <c r="D17" s="70" t="s">
        <v>365</v>
      </c>
    </row>
    <row r="18" spans="3:5">
      <c r="C18" s="70" t="s">
        <v>18</v>
      </c>
      <c r="D18" s="70" t="s">
        <v>366</v>
      </c>
    </row>
    <row r="19" spans="3:5">
      <c r="C19" s="70" t="s">
        <v>367</v>
      </c>
      <c r="D19" s="70" t="s">
        <v>368</v>
      </c>
    </row>
    <row r="21" spans="3:5">
      <c r="C21" s="61" t="s">
        <v>369</v>
      </c>
      <c r="D21" s="73"/>
    </row>
    <row r="22" spans="3:5">
      <c r="C22" s="64" t="s">
        <v>14</v>
      </c>
      <c r="D22" s="64" t="s">
        <v>344</v>
      </c>
    </row>
    <row r="23" spans="3:5">
      <c r="C23" s="1" t="s">
        <v>370</v>
      </c>
      <c r="D23" s="66">
        <v>4000000</v>
      </c>
    </row>
    <row r="24" spans="3:5">
      <c r="C24" s="70" t="s">
        <v>46</v>
      </c>
      <c r="D24" s="70" t="s">
        <v>371</v>
      </c>
    </row>
    <row r="25" spans="3:5">
      <c r="C25" s="1" t="s">
        <v>372</v>
      </c>
      <c r="D25" s="1" t="s">
        <v>373</v>
      </c>
    </row>
    <row r="26" spans="3:5">
      <c r="C26" s="70" t="s">
        <v>24</v>
      </c>
      <c r="D26" s="70" t="s">
        <v>374</v>
      </c>
      <c r="E26" s="2"/>
    </row>
    <row r="27" spans="3:5">
      <c r="C27" s="70" t="s">
        <v>375</v>
      </c>
      <c r="D27" s="74" t="s">
        <v>376</v>
      </c>
    </row>
    <row r="28" spans="3:5">
      <c r="C28" s="70" t="s">
        <v>377</v>
      </c>
      <c r="D28" s="70" t="s">
        <v>378</v>
      </c>
    </row>
    <row r="29" spans="3:5">
      <c r="C29" s="70" t="s">
        <v>379</v>
      </c>
      <c r="D29" s="70" t="s">
        <v>380</v>
      </c>
    </row>
    <row r="30" spans="3:5">
      <c r="C30" s="70" t="s">
        <v>381</v>
      </c>
      <c r="D30" s="70" t="s">
        <v>382</v>
      </c>
      <c r="E30" s="75"/>
    </row>
    <row r="31" spans="3:5">
      <c r="C31" s="70" t="s">
        <v>52</v>
      </c>
      <c r="D31" s="70" t="s">
        <v>383</v>
      </c>
    </row>
    <row r="32" spans="3:5">
      <c r="C32" s="70" t="s">
        <v>384</v>
      </c>
      <c r="D32" s="70" t="s">
        <v>385</v>
      </c>
    </row>
    <row r="33" spans="3:5">
      <c r="C33" s="70" t="s">
        <v>386</v>
      </c>
      <c r="D33" s="70" t="s">
        <v>387</v>
      </c>
    </row>
    <row r="35" spans="3:5">
      <c r="C35" s="61" t="s">
        <v>388</v>
      </c>
    </row>
    <row r="36" spans="3:5">
      <c r="C36" s="64" t="s">
        <v>14</v>
      </c>
      <c r="D36" s="64" t="s">
        <v>344</v>
      </c>
    </row>
    <row r="37" spans="3:5">
      <c r="C37" s="76" t="s">
        <v>389</v>
      </c>
      <c r="D37" s="70" t="s">
        <v>390</v>
      </c>
    </row>
    <row r="38" spans="3:5">
      <c r="C38" s="1" t="s">
        <v>391</v>
      </c>
      <c r="D38" s="1" t="s">
        <v>392</v>
      </c>
    </row>
    <row r="39" spans="3:5">
      <c r="C39" s="77" t="s">
        <v>393</v>
      </c>
      <c r="D39" s="77" t="s">
        <v>22</v>
      </c>
    </row>
    <row r="40" spans="3:5">
      <c r="C40" s="77" t="s">
        <v>394</v>
      </c>
      <c r="D40" s="77" t="s">
        <v>395</v>
      </c>
    </row>
    <row r="41" spans="3:5">
      <c r="C41" s="77" t="s">
        <v>396</v>
      </c>
      <c r="D41" s="77" t="s">
        <v>397</v>
      </c>
    </row>
    <row r="42" spans="3:5">
      <c r="C42" s="77" t="s">
        <v>398</v>
      </c>
      <c r="D42" s="77" t="s">
        <v>399</v>
      </c>
      <c r="E42" s="78"/>
    </row>
    <row r="43" spans="3:5">
      <c r="C43" s="77" t="s">
        <v>400</v>
      </c>
      <c r="D43" s="77" t="s">
        <v>401</v>
      </c>
      <c r="E43" s="78"/>
    </row>
    <row r="44" spans="3:5">
      <c r="C44" s="79" t="s">
        <v>402</v>
      </c>
      <c r="D44" s="79" t="s">
        <v>403</v>
      </c>
    </row>
    <row r="45" spans="3:5">
      <c r="C45" s="77" t="s">
        <v>19</v>
      </c>
      <c r="D45" s="77" t="s">
        <v>404</v>
      </c>
    </row>
    <row r="46" spans="3:5">
      <c r="C46" s="77" t="s">
        <v>405</v>
      </c>
      <c r="D46" s="80" t="s">
        <v>406</v>
      </c>
    </row>
    <row r="47" spans="3:5">
      <c r="C47" s="77" t="s">
        <v>407</v>
      </c>
      <c r="D47" s="77" t="s">
        <v>408</v>
      </c>
    </row>
    <row r="48" spans="3:5">
      <c r="C48" s="77"/>
      <c r="D48" s="77"/>
    </row>
    <row r="49" spans="3:4">
      <c r="C49" s="62" t="s">
        <v>409</v>
      </c>
      <c r="D49" s="77"/>
    </row>
    <row r="50" spans="3:4">
      <c r="C50" s="65" t="s">
        <v>14</v>
      </c>
      <c r="D50" s="65" t="s">
        <v>344</v>
      </c>
    </row>
    <row r="51" spans="3:4">
      <c r="C51" s="67" t="s">
        <v>410</v>
      </c>
      <c r="D51" s="67" t="s">
        <v>411</v>
      </c>
    </row>
    <row r="52" spans="3:4">
      <c r="C52" s="67" t="s">
        <v>412</v>
      </c>
      <c r="D52" s="68">
        <v>0.03</v>
      </c>
    </row>
    <row r="53" spans="3:4">
      <c r="C53" s="77" t="s">
        <v>413</v>
      </c>
      <c r="D53" s="77" t="s">
        <v>414</v>
      </c>
    </row>
    <row r="54" spans="3:4">
      <c r="C54" s="77" t="s">
        <v>93</v>
      </c>
      <c r="D54" s="77" t="s">
        <v>415</v>
      </c>
    </row>
    <row r="55" spans="3:4">
      <c r="C55" s="77" t="s">
        <v>416</v>
      </c>
      <c r="D55" s="77" t="s">
        <v>417</v>
      </c>
    </row>
    <row r="56" spans="3:4">
      <c r="C56" s="77" t="s">
        <v>98</v>
      </c>
      <c r="D56" s="80" t="s">
        <v>418</v>
      </c>
    </row>
    <row r="57" spans="3:4">
      <c r="C57" s="77" t="s">
        <v>25</v>
      </c>
      <c r="D57" s="77" t="s">
        <v>419</v>
      </c>
    </row>
    <row r="58" spans="3:4">
      <c r="C58" s="77" t="s">
        <v>420</v>
      </c>
      <c r="D58" s="80" t="s">
        <v>421</v>
      </c>
    </row>
    <row r="59" spans="3:4">
      <c r="C59" s="77" t="s">
        <v>422</v>
      </c>
      <c r="D59" s="77" t="s">
        <v>423</v>
      </c>
    </row>
    <row r="60" spans="3:4">
      <c r="C60" s="77" t="s">
        <v>424</v>
      </c>
      <c r="D60" s="77" t="s">
        <v>425</v>
      </c>
    </row>
    <row r="61" spans="3:4">
      <c r="C61" s="79" t="s">
        <v>426</v>
      </c>
      <c r="D61" s="79" t="s">
        <v>427</v>
      </c>
    </row>
    <row r="62" spans="3:4">
      <c r="C62" s="77" t="s">
        <v>428</v>
      </c>
      <c r="D62" s="81" t="s">
        <v>429</v>
      </c>
    </row>
    <row r="63" spans="3:4">
      <c r="C63" s="77" t="s">
        <v>430</v>
      </c>
      <c r="D63" s="81" t="s">
        <v>431</v>
      </c>
    </row>
    <row r="64" spans="3:4">
      <c r="C64" s="77" t="s">
        <v>432</v>
      </c>
      <c r="D64" s="81" t="s">
        <v>433</v>
      </c>
    </row>
    <row r="65" spans="3:4">
      <c r="C65" s="77" t="s">
        <v>434</v>
      </c>
      <c r="D65" s="81" t="s">
        <v>435</v>
      </c>
    </row>
    <row r="66" spans="3:4">
      <c r="C66" s="77" t="s">
        <v>436</v>
      </c>
      <c r="D66" s="81" t="s">
        <v>437</v>
      </c>
    </row>
    <row r="67" spans="3:4">
      <c r="C67" s="77"/>
      <c r="D67" s="81"/>
    </row>
    <row r="68" spans="3:4">
      <c r="C68" s="62" t="s">
        <v>438</v>
      </c>
      <c r="D68" s="77"/>
    </row>
    <row r="69" spans="3:4">
      <c r="C69" s="65" t="s">
        <v>14</v>
      </c>
      <c r="D69" s="65" t="s">
        <v>344</v>
      </c>
    </row>
    <row r="70" spans="3:4">
      <c r="C70" s="1" t="s">
        <v>439</v>
      </c>
      <c r="D70" s="1" t="s">
        <v>440</v>
      </c>
    </row>
    <row r="71" spans="3:4">
      <c r="C71" s="1" t="s">
        <v>441</v>
      </c>
      <c r="D71" s="1" t="s">
        <v>442</v>
      </c>
    </row>
    <row r="72" spans="3:4">
      <c r="C72" s="70" t="s">
        <v>443</v>
      </c>
      <c r="D72" s="70" t="s">
        <v>444</v>
      </c>
    </row>
    <row r="73" spans="3:4">
      <c r="C73" s="70" t="s">
        <v>445</v>
      </c>
      <c r="D73" s="70" t="s">
        <v>446</v>
      </c>
    </row>
    <row r="74" spans="3:4">
      <c r="C74" s="70" t="s">
        <v>447</v>
      </c>
      <c r="D74" s="70" t="s">
        <v>448</v>
      </c>
    </row>
    <row r="75" spans="3:4">
      <c r="C75" s="70" t="s">
        <v>449</v>
      </c>
      <c r="D75" s="70" t="s">
        <v>450</v>
      </c>
    </row>
    <row r="76" spans="3:4">
      <c r="C76" s="70" t="s">
        <v>451</v>
      </c>
      <c r="D76" s="70" t="s">
        <v>452</v>
      </c>
    </row>
    <row r="77" spans="3:4">
      <c r="C77" s="70" t="s">
        <v>52</v>
      </c>
      <c r="D77" s="70" t="s">
        <v>453</v>
      </c>
    </row>
    <row r="78" spans="3:4">
      <c r="C78" s="70" t="s">
        <v>454</v>
      </c>
      <c r="D78" s="70" t="s">
        <v>455</v>
      </c>
    </row>
    <row r="79" spans="3:4">
      <c r="C79" s="70" t="s">
        <v>456</v>
      </c>
      <c r="D79" s="70" t="s">
        <v>457</v>
      </c>
    </row>
    <row r="81" spans="3:4">
      <c r="C81" s="61" t="s">
        <v>458</v>
      </c>
    </row>
    <row r="82" spans="3:4">
      <c r="C82" s="64" t="s">
        <v>14</v>
      </c>
      <c r="D82" s="64" t="s">
        <v>344</v>
      </c>
    </row>
    <row r="83" spans="3:4">
      <c r="C83" s="1" t="s">
        <v>459</v>
      </c>
      <c r="D83" s="1" t="s">
        <v>403</v>
      </c>
    </row>
    <row r="84" spans="3:4">
      <c r="C84" s="1" t="s">
        <v>460</v>
      </c>
      <c r="D84" s="1" t="s">
        <v>461</v>
      </c>
    </row>
    <row r="85" spans="3:4">
      <c r="C85" s="70" t="s">
        <v>462</v>
      </c>
      <c r="D85" s="70" t="s">
        <v>463</v>
      </c>
    </row>
    <row r="86" spans="3:4">
      <c r="C86" s="1" t="s">
        <v>464</v>
      </c>
      <c r="D86" s="69">
        <v>5.7500000000000002E-2</v>
      </c>
    </row>
    <row r="87" spans="3:4">
      <c r="C87" s="70" t="s">
        <v>432</v>
      </c>
      <c r="D87" s="70" t="s">
        <v>465</v>
      </c>
    </row>
    <row r="88" spans="3:4">
      <c r="C88" s="70" t="s">
        <v>466</v>
      </c>
      <c r="D88" s="82" t="s">
        <v>467</v>
      </c>
    </row>
    <row r="89" spans="3:4">
      <c r="C89" s="70" t="s">
        <v>241</v>
      </c>
      <c r="D89" s="82" t="s">
        <v>468</v>
      </c>
    </row>
    <row r="90" spans="3:4">
      <c r="C90" s="70" t="s">
        <v>469</v>
      </c>
      <c r="D90" s="82" t="s">
        <v>470</v>
      </c>
    </row>
    <row r="92" spans="3:4">
      <c r="C92" s="61" t="s">
        <v>471</v>
      </c>
    </row>
    <row r="93" spans="3:4">
      <c r="C93" s="64" t="s">
        <v>14</v>
      </c>
      <c r="D93" s="64" t="s">
        <v>344</v>
      </c>
    </row>
    <row r="94" spans="3:4">
      <c r="C94" s="1" t="s">
        <v>472</v>
      </c>
      <c r="D94" s="1" t="s">
        <v>473</v>
      </c>
    </row>
    <row r="95" spans="3:4">
      <c r="C95" s="70" t="s">
        <v>474</v>
      </c>
      <c r="D95" s="70" t="s">
        <v>475</v>
      </c>
    </row>
    <row r="96" spans="3:4">
      <c r="C96" s="70" t="s">
        <v>476</v>
      </c>
      <c r="D96" s="70" t="s">
        <v>477</v>
      </c>
    </row>
    <row r="97" spans="3:4">
      <c r="C97" s="70" t="s">
        <v>478</v>
      </c>
      <c r="D97" s="70" t="s">
        <v>479</v>
      </c>
    </row>
    <row r="98" spans="3:4">
      <c r="C98" s="70" t="s">
        <v>480</v>
      </c>
      <c r="D98" s="70" t="s">
        <v>481</v>
      </c>
    </row>
    <row r="99" spans="3:4">
      <c r="C99" s="70" t="s">
        <v>482</v>
      </c>
      <c r="D99" s="70" t="s">
        <v>483</v>
      </c>
    </row>
    <row r="100" spans="3:4">
      <c r="C100" s="70" t="s">
        <v>484</v>
      </c>
      <c r="D100" s="70" t="s">
        <v>485</v>
      </c>
    </row>
    <row r="101" spans="3:4">
      <c r="C101" s="70" t="s">
        <v>486</v>
      </c>
      <c r="D101" s="70" t="s">
        <v>487</v>
      </c>
    </row>
    <row r="102" spans="3:4">
      <c r="C102" s="70" t="s">
        <v>488</v>
      </c>
      <c r="D102" s="70" t="s">
        <v>489</v>
      </c>
    </row>
    <row r="103" spans="3:4">
      <c r="C103" s="70" t="s">
        <v>490</v>
      </c>
      <c r="D103" s="70" t="s">
        <v>491</v>
      </c>
    </row>
    <row r="104" spans="3:4">
      <c r="C104" s="70" t="s">
        <v>492</v>
      </c>
      <c r="D104" s="70" t="s">
        <v>493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F752A-55B5-4F62-9DB2-5323F0B8899C}">
  <dimension ref="A1:BV147"/>
  <sheetViews>
    <sheetView zoomScaleNormal="100" workbookViewId="0">
      <pane xSplit="11" ySplit="4" topLeftCell="L99" activePane="bottomRight" state="frozen"/>
      <selection pane="topRight" activeCell="L1" sqref="L1"/>
      <selection pane="bottomLeft" activeCell="A5" sqref="A5"/>
      <selection pane="bottomRight" activeCell="B102" sqref="B102:I115"/>
    </sheetView>
  </sheetViews>
  <sheetFormatPr defaultColWidth="0" defaultRowHeight="15"/>
  <cols>
    <col min="1" max="1" width="3.5703125" style="70" customWidth="1"/>
    <col min="2" max="2" width="9.140625" style="88" customWidth="1"/>
    <col min="3" max="3" width="9.140625" style="70" customWidth="1"/>
    <col min="4" max="4" width="10.5703125" style="70" bestFit="1" customWidth="1"/>
    <col min="5" max="5" width="31.85546875" style="70" bestFit="1" customWidth="1"/>
    <col min="6" max="6" width="16.42578125" style="70" bestFit="1" customWidth="1"/>
    <col min="7" max="7" width="9.7109375" style="70" bestFit="1" customWidth="1"/>
    <col min="8" max="8" width="11" style="70" bestFit="1" customWidth="1"/>
    <col min="9" max="9" width="13.140625" style="70" bestFit="1" customWidth="1"/>
    <col min="10" max="10" width="9.140625" style="70" customWidth="1"/>
    <col min="11" max="11" width="14.28515625" style="101" bestFit="1" customWidth="1"/>
    <col min="12" max="12" width="12.7109375" style="70" customWidth="1"/>
    <col min="13" max="13" width="11.28515625" style="70" bestFit="1" customWidth="1"/>
    <col min="14" max="17" width="10.5703125" style="70" bestFit="1" customWidth="1"/>
    <col min="18" max="25" width="11.28515625" style="70" bestFit="1" customWidth="1"/>
    <col min="26" max="27" width="10.5703125" style="70" bestFit="1" customWidth="1"/>
    <col min="28" max="31" width="11.5703125" style="70" bestFit="1" customWidth="1"/>
    <col min="32" max="35" width="12.28515625" style="70" bestFit="1" customWidth="1"/>
    <col min="36" max="36" width="11.5703125" style="70" bestFit="1" customWidth="1"/>
    <col min="37" max="40" width="12.28515625" style="70" bestFit="1" customWidth="1"/>
    <col min="41" max="41" width="11.5703125" style="70" bestFit="1" customWidth="1"/>
    <col min="42" max="45" width="12.28515625" style="70" bestFit="1" customWidth="1"/>
    <col min="46" max="46" width="11.5703125" style="70" bestFit="1" customWidth="1"/>
    <col min="47" max="49" width="12.28515625" style="70" bestFit="1" customWidth="1"/>
    <col min="50" max="50" width="11.5703125" style="70" bestFit="1" customWidth="1"/>
    <col min="51" max="58" width="9.85546875" style="70" bestFit="1" customWidth="1"/>
    <col min="59" max="61" width="10.85546875" style="70" bestFit="1" customWidth="1"/>
    <col min="62" max="70" width="9.85546875" style="70" bestFit="1" customWidth="1"/>
    <col min="71" max="73" width="10.85546875" style="70" bestFit="1" customWidth="1"/>
    <col min="74" max="74" width="13.28515625" style="70" bestFit="1" customWidth="1"/>
    <col min="75" max="16384" width="9.140625" style="70" hidden="1"/>
  </cols>
  <sheetData>
    <row r="1" spans="2:73">
      <c r="B1" s="70"/>
      <c r="K1" s="70"/>
    </row>
    <row r="2" spans="2:73">
      <c r="B2" s="84" t="s">
        <v>26</v>
      </c>
      <c r="C2" s="85"/>
      <c r="D2" s="85"/>
      <c r="E2" s="85"/>
      <c r="F2" s="85"/>
      <c r="G2" s="85"/>
      <c r="H2" s="85"/>
      <c r="I2" s="85"/>
      <c r="J2" s="85"/>
      <c r="K2" s="86"/>
      <c r="M2" s="87">
        <f>ROUNDUP(M3/12,1)</f>
        <v>0</v>
      </c>
      <c r="N2" s="87">
        <f>ROUNDUP(N3/12,0)</f>
        <v>1</v>
      </c>
      <c r="O2" s="87">
        <f t="shared" ref="O2:BU2" si="0">ROUNDUP(O3/12,0)</f>
        <v>1</v>
      </c>
      <c r="P2" s="87">
        <f t="shared" si="0"/>
        <v>1</v>
      </c>
      <c r="Q2" s="87">
        <f t="shared" si="0"/>
        <v>1</v>
      </c>
      <c r="R2" s="87">
        <f t="shared" si="0"/>
        <v>1</v>
      </c>
      <c r="S2" s="87">
        <f t="shared" si="0"/>
        <v>1</v>
      </c>
      <c r="T2" s="87">
        <f t="shared" si="0"/>
        <v>1</v>
      </c>
      <c r="U2" s="87">
        <f t="shared" si="0"/>
        <v>1</v>
      </c>
      <c r="V2" s="87">
        <f t="shared" si="0"/>
        <v>1</v>
      </c>
      <c r="W2" s="87">
        <f t="shared" si="0"/>
        <v>1</v>
      </c>
      <c r="X2" s="87">
        <f t="shared" si="0"/>
        <v>1</v>
      </c>
      <c r="Y2" s="87">
        <f t="shared" si="0"/>
        <v>1</v>
      </c>
      <c r="Z2" s="87">
        <f t="shared" si="0"/>
        <v>2</v>
      </c>
      <c r="AA2" s="87">
        <f t="shared" si="0"/>
        <v>2</v>
      </c>
      <c r="AB2" s="87">
        <f t="shared" si="0"/>
        <v>2</v>
      </c>
      <c r="AC2" s="87">
        <f t="shared" si="0"/>
        <v>2</v>
      </c>
      <c r="AD2" s="87">
        <f t="shared" si="0"/>
        <v>2</v>
      </c>
      <c r="AE2" s="87">
        <f t="shared" si="0"/>
        <v>2</v>
      </c>
      <c r="AF2" s="87">
        <f t="shared" si="0"/>
        <v>2</v>
      </c>
      <c r="AG2" s="87">
        <f t="shared" si="0"/>
        <v>2</v>
      </c>
      <c r="AH2" s="87">
        <f t="shared" si="0"/>
        <v>2</v>
      </c>
      <c r="AI2" s="87">
        <f t="shared" si="0"/>
        <v>2</v>
      </c>
      <c r="AJ2" s="87">
        <f t="shared" si="0"/>
        <v>2</v>
      </c>
      <c r="AK2" s="87">
        <f t="shared" si="0"/>
        <v>2</v>
      </c>
      <c r="AL2" s="87">
        <f t="shared" si="0"/>
        <v>3</v>
      </c>
      <c r="AM2" s="87">
        <f t="shared" si="0"/>
        <v>3</v>
      </c>
      <c r="AN2" s="87">
        <f t="shared" si="0"/>
        <v>3</v>
      </c>
      <c r="AO2" s="87">
        <f t="shared" si="0"/>
        <v>3</v>
      </c>
      <c r="AP2" s="87">
        <f t="shared" si="0"/>
        <v>3</v>
      </c>
      <c r="AQ2" s="87">
        <f t="shared" si="0"/>
        <v>3</v>
      </c>
      <c r="AR2" s="87">
        <f t="shared" si="0"/>
        <v>3</v>
      </c>
      <c r="AS2" s="87">
        <f t="shared" si="0"/>
        <v>3</v>
      </c>
      <c r="AT2" s="87">
        <f t="shared" si="0"/>
        <v>3</v>
      </c>
      <c r="AU2" s="87">
        <f t="shared" si="0"/>
        <v>3</v>
      </c>
      <c r="AV2" s="87">
        <f t="shared" si="0"/>
        <v>3</v>
      </c>
      <c r="AW2" s="87">
        <f t="shared" si="0"/>
        <v>3</v>
      </c>
      <c r="AX2" s="87">
        <f t="shared" si="0"/>
        <v>4</v>
      </c>
      <c r="AY2" s="87">
        <f t="shared" si="0"/>
        <v>4</v>
      </c>
      <c r="AZ2" s="87">
        <f t="shared" si="0"/>
        <v>4</v>
      </c>
      <c r="BA2" s="87">
        <f t="shared" si="0"/>
        <v>4</v>
      </c>
      <c r="BB2" s="87">
        <f t="shared" si="0"/>
        <v>4</v>
      </c>
      <c r="BC2" s="87">
        <f t="shared" si="0"/>
        <v>4</v>
      </c>
      <c r="BD2" s="87">
        <f t="shared" si="0"/>
        <v>4</v>
      </c>
      <c r="BE2" s="87">
        <f t="shared" si="0"/>
        <v>4</v>
      </c>
      <c r="BF2" s="87">
        <f t="shared" si="0"/>
        <v>4</v>
      </c>
      <c r="BG2" s="87">
        <f t="shared" si="0"/>
        <v>4</v>
      </c>
      <c r="BH2" s="87">
        <f t="shared" si="0"/>
        <v>4</v>
      </c>
      <c r="BI2" s="87">
        <f t="shared" si="0"/>
        <v>4</v>
      </c>
      <c r="BJ2" s="87">
        <f t="shared" si="0"/>
        <v>5</v>
      </c>
      <c r="BK2" s="87">
        <f t="shared" si="0"/>
        <v>5</v>
      </c>
      <c r="BL2" s="87">
        <f t="shared" si="0"/>
        <v>5</v>
      </c>
      <c r="BM2" s="87">
        <f t="shared" si="0"/>
        <v>5</v>
      </c>
      <c r="BN2" s="87">
        <f t="shared" si="0"/>
        <v>5</v>
      </c>
      <c r="BO2" s="87">
        <f t="shared" si="0"/>
        <v>5</v>
      </c>
      <c r="BP2" s="87">
        <f t="shared" si="0"/>
        <v>5</v>
      </c>
      <c r="BQ2" s="87">
        <f t="shared" si="0"/>
        <v>5</v>
      </c>
      <c r="BR2" s="87">
        <f t="shared" si="0"/>
        <v>5</v>
      </c>
      <c r="BS2" s="87">
        <f t="shared" si="0"/>
        <v>5</v>
      </c>
      <c r="BT2" s="87">
        <f t="shared" si="0"/>
        <v>5</v>
      </c>
      <c r="BU2" s="87">
        <f t="shared" si="0"/>
        <v>5</v>
      </c>
    </row>
    <row r="3" spans="2:73">
      <c r="B3" s="88" t="s">
        <v>27</v>
      </c>
      <c r="D3" s="89">
        <f ca="1">E106</f>
        <v>8669271.0699852314</v>
      </c>
      <c r="E3" s="70" t="s">
        <v>273</v>
      </c>
      <c r="G3" s="5">
        <f>F86/K32</f>
        <v>8.0292884717037577E-2</v>
      </c>
      <c r="H3" s="70" t="s">
        <v>30</v>
      </c>
      <c r="I3" s="90">
        <f ca="1">G105</f>
        <v>0.46602867245674129</v>
      </c>
      <c r="J3" s="70" t="s">
        <v>32</v>
      </c>
      <c r="K3" s="91">
        <f ca="1">G104</f>
        <v>0.20606405138969419</v>
      </c>
      <c r="M3" s="92">
        <v>0</v>
      </c>
      <c r="N3" s="92">
        <f>M3+1</f>
        <v>1</v>
      </c>
      <c r="O3" s="92">
        <f t="shared" ref="O3:BU3" si="1">N3+1</f>
        <v>2</v>
      </c>
      <c r="P3" s="92">
        <f t="shared" si="1"/>
        <v>3</v>
      </c>
      <c r="Q3" s="92">
        <f t="shared" si="1"/>
        <v>4</v>
      </c>
      <c r="R3" s="92">
        <f t="shared" si="1"/>
        <v>5</v>
      </c>
      <c r="S3" s="92">
        <f t="shared" si="1"/>
        <v>6</v>
      </c>
      <c r="T3" s="92">
        <f t="shared" si="1"/>
        <v>7</v>
      </c>
      <c r="U3" s="92">
        <f t="shared" si="1"/>
        <v>8</v>
      </c>
      <c r="V3" s="92">
        <f t="shared" si="1"/>
        <v>9</v>
      </c>
      <c r="W3" s="92">
        <f t="shared" si="1"/>
        <v>10</v>
      </c>
      <c r="X3" s="92">
        <f t="shared" si="1"/>
        <v>11</v>
      </c>
      <c r="Y3" s="92">
        <f t="shared" si="1"/>
        <v>12</v>
      </c>
      <c r="Z3" s="92">
        <f t="shared" si="1"/>
        <v>13</v>
      </c>
      <c r="AA3" s="92">
        <f t="shared" si="1"/>
        <v>14</v>
      </c>
      <c r="AB3" s="92">
        <f t="shared" si="1"/>
        <v>15</v>
      </c>
      <c r="AC3" s="92">
        <f t="shared" si="1"/>
        <v>16</v>
      </c>
      <c r="AD3" s="92">
        <f t="shared" si="1"/>
        <v>17</v>
      </c>
      <c r="AE3" s="92">
        <f t="shared" si="1"/>
        <v>18</v>
      </c>
      <c r="AF3" s="92">
        <f t="shared" si="1"/>
        <v>19</v>
      </c>
      <c r="AG3" s="92">
        <f t="shared" si="1"/>
        <v>20</v>
      </c>
      <c r="AH3" s="92">
        <f t="shared" si="1"/>
        <v>21</v>
      </c>
      <c r="AI3" s="92">
        <f t="shared" si="1"/>
        <v>22</v>
      </c>
      <c r="AJ3" s="92">
        <f t="shared" si="1"/>
        <v>23</v>
      </c>
      <c r="AK3" s="92">
        <f t="shared" si="1"/>
        <v>24</v>
      </c>
      <c r="AL3" s="92">
        <f t="shared" si="1"/>
        <v>25</v>
      </c>
      <c r="AM3" s="92">
        <f t="shared" si="1"/>
        <v>26</v>
      </c>
      <c r="AN3" s="92">
        <f t="shared" si="1"/>
        <v>27</v>
      </c>
      <c r="AO3" s="92">
        <f t="shared" si="1"/>
        <v>28</v>
      </c>
      <c r="AP3" s="92">
        <f t="shared" si="1"/>
        <v>29</v>
      </c>
      <c r="AQ3" s="92">
        <f t="shared" si="1"/>
        <v>30</v>
      </c>
      <c r="AR3" s="92">
        <f t="shared" si="1"/>
        <v>31</v>
      </c>
      <c r="AS3" s="92">
        <f t="shared" si="1"/>
        <v>32</v>
      </c>
      <c r="AT3" s="92">
        <f t="shared" si="1"/>
        <v>33</v>
      </c>
      <c r="AU3" s="92">
        <f t="shared" si="1"/>
        <v>34</v>
      </c>
      <c r="AV3" s="92">
        <f t="shared" si="1"/>
        <v>35</v>
      </c>
      <c r="AW3" s="92">
        <f t="shared" si="1"/>
        <v>36</v>
      </c>
      <c r="AX3" s="92">
        <f t="shared" si="1"/>
        <v>37</v>
      </c>
      <c r="AY3" s="92">
        <f t="shared" si="1"/>
        <v>38</v>
      </c>
      <c r="AZ3" s="92">
        <f t="shared" si="1"/>
        <v>39</v>
      </c>
      <c r="BA3" s="92">
        <f t="shared" si="1"/>
        <v>40</v>
      </c>
      <c r="BB3" s="92">
        <f t="shared" si="1"/>
        <v>41</v>
      </c>
      <c r="BC3" s="92">
        <f t="shared" si="1"/>
        <v>42</v>
      </c>
      <c r="BD3" s="92">
        <f t="shared" si="1"/>
        <v>43</v>
      </c>
      <c r="BE3" s="92">
        <f t="shared" si="1"/>
        <v>44</v>
      </c>
      <c r="BF3" s="92">
        <f t="shared" si="1"/>
        <v>45</v>
      </c>
      <c r="BG3" s="92">
        <f t="shared" si="1"/>
        <v>46</v>
      </c>
      <c r="BH3" s="92">
        <f t="shared" si="1"/>
        <v>47</v>
      </c>
      <c r="BI3" s="92">
        <f t="shared" si="1"/>
        <v>48</v>
      </c>
      <c r="BJ3" s="92">
        <f t="shared" si="1"/>
        <v>49</v>
      </c>
      <c r="BK3" s="92">
        <f t="shared" si="1"/>
        <v>50</v>
      </c>
      <c r="BL3" s="92">
        <f t="shared" si="1"/>
        <v>51</v>
      </c>
      <c r="BM3" s="92">
        <f t="shared" si="1"/>
        <v>52</v>
      </c>
      <c r="BN3" s="92">
        <f t="shared" si="1"/>
        <v>53</v>
      </c>
      <c r="BO3" s="92">
        <f t="shared" si="1"/>
        <v>54</v>
      </c>
      <c r="BP3" s="92">
        <f t="shared" si="1"/>
        <v>55</v>
      </c>
      <c r="BQ3" s="92">
        <f t="shared" si="1"/>
        <v>56</v>
      </c>
      <c r="BR3" s="92">
        <f t="shared" si="1"/>
        <v>57</v>
      </c>
      <c r="BS3" s="92">
        <f t="shared" si="1"/>
        <v>58</v>
      </c>
      <c r="BT3" s="92">
        <f t="shared" si="1"/>
        <v>59</v>
      </c>
      <c r="BU3" s="92">
        <f t="shared" si="1"/>
        <v>60</v>
      </c>
    </row>
    <row r="4" spans="2:73">
      <c r="B4" s="93" t="s">
        <v>28</v>
      </c>
      <c r="C4" s="94"/>
      <c r="D4" s="95">
        <f ca="1">I106</f>
        <v>6890962.5635115178</v>
      </c>
      <c r="E4" s="94" t="s">
        <v>29</v>
      </c>
      <c r="F4" s="94"/>
      <c r="G4" s="96">
        <f>(G3-G86)*10000</f>
        <v>227.92884717037575</v>
      </c>
      <c r="H4" s="94" t="s">
        <v>31</v>
      </c>
      <c r="I4" s="97">
        <f ca="1">H105</f>
        <v>2.8959450391402806</v>
      </c>
      <c r="J4" s="94" t="s">
        <v>31</v>
      </c>
      <c r="K4" s="98">
        <f ca="1">H104</f>
        <v>1.6725307728809082</v>
      </c>
      <c r="M4" s="99">
        <f>EOMONTH(D5,-1)</f>
        <v>46387</v>
      </c>
      <c r="N4" s="99">
        <f>EOMONTH(M4,1)</f>
        <v>46418</v>
      </c>
      <c r="O4" s="99">
        <f t="shared" ref="O4:BU4" si="2">EOMONTH(N4,1)</f>
        <v>46446</v>
      </c>
      <c r="P4" s="99">
        <f t="shared" si="2"/>
        <v>46477</v>
      </c>
      <c r="Q4" s="99">
        <f t="shared" si="2"/>
        <v>46507</v>
      </c>
      <c r="R4" s="99">
        <f t="shared" si="2"/>
        <v>46538</v>
      </c>
      <c r="S4" s="99">
        <f t="shared" si="2"/>
        <v>46568</v>
      </c>
      <c r="T4" s="99">
        <f t="shared" si="2"/>
        <v>46599</v>
      </c>
      <c r="U4" s="99">
        <f t="shared" si="2"/>
        <v>46630</v>
      </c>
      <c r="V4" s="99">
        <f t="shared" si="2"/>
        <v>46660</v>
      </c>
      <c r="W4" s="99">
        <f t="shared" si="2"/>
        <v>46691</v>
      </c>
      <c r="X4" s="99">
        <f t="shared" si="2"/>
        <v>46721</v>
      </c>
      <c r="Y4" s="99">
        <f t="shared" si="2"/>
        <v>46752</v>
      </c>
      <c r="Z4" s="99">
        <f t="shared" si="2"/>
        <v>46783</v>
      </c>
      <c r="AA4" s="99">
        <f t="shared" si="2"/>
        <v>46812</v>
      </c>
      <c r="AB4" s="99">
        <f t="shared" si="2"/>
        <v>46843</v>
      </c>
      <c r="AC4" s="99">
        <f t="shared" si="2"/>
        <v>46873</v>
      </c>
      <c r="AD4" s="99">
        <f t="shared" si="2"/>
        <v>46904</v>
      </c>
      <c r="AE4" s="99">
        <f t="shared" si="2"/>
        <v>46934</v>
      </c>
      <c r="AF4" s="99">
        <f t="shared" si="2"/>
        <v>46965</v>
      </c>
      <c r="AG4" s="99">
        <f t="shared" si="2"/>
        <v>46996</v>
      </c>
      <c r="AH4" s="99">
        <f t="shared" si="2"/>
        <v>47026</v>
      </c>
      <c r="AI4" s="99">
        <f t="shared" si="2"/>
        <v>47057</v>
      </c>
      <c r="AJ4" s="99">
        <f t="shared" si="2"/>
        <v>47087</v>
      </c>
      <c r="AK4" s="99">
        <f t="shared" si="2"/>
        <v>47118</v>
      </c>
      <c r="AL4" s="99">
        <f t="shared" si="2"/>
        <v>47149</v>
      </c>
      <c r="AM4" s="99">
        <f t="shared" si="2"/>
        <v>47177</v>
      </c>
      <c r="AN4" s="99">
        <f t="shared" si="2"/>
        <v>47208</v>
      </c>
      <c r="AO4" s="99">
        <f t="shared" si="2"/>
        <v>47238</v>
      </c>
      <c r="AP4" s="99">
        <f t="shared" si="2"/>
        <v>47269</v>
      </c>
      <c r="AQ4" s="99">
        <f t="shared" si="2"/>
        <v>47299</v>
      </c>
      <c r="AR4" s="99">
        <f t="shared" si="2"/>
        <v>47330</v>
      </c>
      <c r="AS4" s="99">
        <f t="shared" si="2"/>
        <v>47361</v>
      </c>
      <c r="AT4" s="99">
        <f t="shared" si="2"/>
        <v>47391</v>
      </c>
      <c r="AU4" s="99">
        <f t="shared" si="2"/>
        <v>47422</v>
      </c>
      <c r="AV4" s="99">
        <f t="shared" si="2"/>
        <v>47452</v>
      </c>
      <c r="AW4" s="99">
        <f t="shared" si="2"/>
        <v>47483</v>
      </c>
      <c r="AX4" s="99">
        <f t="shared" si="2"/>
        <v>47514</v>
      </c>
      <c r="AY4" s="99">
        <f t="shared" si="2"/>
        <v>47542</v>
      </c>
      <c r="AZ4" s="99">
        <f t="shared" si="2"/>
        <v>47573</v>
      </c>
      <c r="BA4" s="99">
        <f t="shared" si="2"/>
        <v>47603</v>
      </c>
      <c r="BB4" s="99">
        <f t="shared" si="2"/>
        <v>47634</v>
      </c>
      <c r="BC4" s="99">
        <f t="shared" si="2"/>
        <v>47664</v>
      </c>
      <c r="BD4" s="99">
        <f t="shared" si="2"/>
        <v>47695</v>
      </c>
      <c r="BE4" s="99">
        <f t="shared" si="2"/>
        <v>47726</v>
      </c>
      <c r="BF4" s="99">
        <f t="shared" si="2"/>
        <v>47756</v>
      </c>
      <c r="BG4" s="99">
        <f t="shared" si="2"/>
        <v>47787</v>
      </c>
      <c r="BH4" s="99">
        <f t="shared" si="2"/>
        <v>47817</v>
      </c>
      <c r="BI4" s="99">
        <f t="shared" si="2"/>
        <v>47848</v>
      </c>
      <c r="BJ4" s="99">
        <f t="shared" si="2"/>
        <v>47879</v>
      </c>
      <c r="BK4" s="99">
        <f t="shared" si="2"/>
        <v>47907</v>
      </c>
      <c r="BL4" s="99">
        <f t="shared" si="2"/>
        <v>47938</v>
      </c>
      <c r="BM4" s="99">
        <f t="shared" si="2"/>
        <v>47968</v>
      </c>
      <c r="BN4" s="99">
        <f t="shared" si="2"/>
        <v>47999</v>
      </c>
      <c r="BO4" s="99">
        <f t="shared" si="2"/>
        <v>48029</v>
      </c>
      <c r="BP4" s="99">
        <f t="shared" si="2"/>
        <v>48060</v>
      </c>
      <c r="BQ4" s="99">
        <f t="shared" si="2"/>
        <v>48091</v>
      </c>
      <c r="BR4" s="99">
        <f t="shared" si="2"/>
        <v>48121</v>
      </c>
      <c r="BS4" s="99">
        <f t="shared" si="2"/>
        <v>48152</v>
      </c>
      <c r="BT4" s="99">
        <f t="shared" si="2"/>
        <v>48182</v>
      </c>
      <c r="BU4" s="99">
        <f t="shared" si="2"/>
        <v>48213</v>
      </c>
    </row>
    <row r="5" spans="2:73">
      <c r="B5" s="88" t="s">
        <v>36</v>
      </c>
      <c r="D5" s="99">
        <v>46388</v>
      </c>
      <c r="I5" s="70" t="s">
        <v>11</v>
      </c>
      <c r="K5" s="58" t="s">
        <v>34</v>
      </c>
    </row>
    <row r="6" spans="2:73">
      <c r="B6" s="88" t="s">
        <v>37</v>
      </c>
      <c r="D6" s="22">
        <f>G12+1</f>
        <v>16</v>
      </c>
      <c r="I6" s="70" t="s">
        <v>33</v>
      </c>
      <c r="K6" s="58" t="s">
        <v>35</v>
      </c>
      <c r="L6" s="76"/>
    </row>
    <row r="7" spans="2:73">
      <c r="B7" s="88" t="s">
        <v>19</v>
      </c>
      <c r="D7" s="100">
        <f>$G$59</f>
        <v>25</v>
      </c>
      <c r="I7" s="70" t="s">
        <v>38</v>
      </c>
      <c r="K7" s="23">
        <v>221745</v>
      </c>
      <c r="L7" s="76"/>
    </row>
    <row r="8" spans="2:73">
      <c r="B8" s="88" t="s">
        <v>237</v>
      </c>
      <c r="D8" s="100">
        <f>E86</f>
        <v>36</v>
      </c>
      <c r="I8" s="70" t="s">
        <v>39</v>
      </c>
      <c r="K8" s="23">
        <v>80000</v>
      </c>
      <c r="L8" s="76"/>
    </row>
    <row r="9" spans="2:73">
      <c r="L9" s="76"/>
    </row>
    <row r="11" spans="2:73">
      <c r="B11" s="88" t="s">
        <v>40</v>
      </c>
      <c r="F11" s="102" t="s">
        <v>43</v>
      </c>
      <c r="G11" s="102" t="s">
        <v>44</v>
      </c>
      <c r="J11" s="103" t="s">
        <v>45</v>
      </c>
      <c r="K11" s="104" t="s">
        <v>3</v>
      </c>
      <c r="L11" s="105"/>
    </row>
    <row r="12" spans="2:73">
      <c r="B12" s="106" t="s">
        <v>42</v>
      </c>
      <c r="F12" s="41">
        <v>0</v>
      </c>
      <c r="G12" s="41">
        <v>15</v>
      </c>
      <c r="H12" s="107"/>
      <c r="I12" s="107"/>
      <c r="L12" s="138" t="s">
        <v>108</v>
      </c>
      <c r="M12" s="139" t="s">
        <v>105</v>
      </c>
      <c r="N12" s="50">
        <f>IF(OR(N$3&lt;$F$15,N$3&gt;$G$15),"-",(COS(PI()*(N$3-$F$15)/($G$15-$F$15+1))-COS(PI()*(N$3-$F$15+1)/($G$15-$F$15+1)))/2)</f>
        <v>1.0926199633097156E-2</v>
      </c>
      <c r="O12" s="50">
        <f t="shared" ref="O12:BU12" si="3">IF(OR(O$3&lt;$F$15,O$3&gt;$G$15),"-",(COS(PI()*(O$3-$F$15)/($G$15-$F$15+1))-COS(PI()*(O$3-$F$15+1)/($G$15-$F$15+1)))/2)</f>
        <v>3.2301071545602411E-2</v>
      </c>
      <c r="P12" s="50">
        <f t="shared" si="3"/>
        <v>5.2264231633826708E-2</v>
      </c>
      <c r="Q12" s="50">
        <f t="shared" si="3"/>
        <v>6.9943194008044607E-2</v>
      </c>
      <c r="R12" s="50">
        <f t="shared" si="3"/>
        <v>8.4565303179429063E-2</v>
      </c>
      <c r="S12" s="50">
        <f t="shared" si="3"/>
        <v>9.549150281252633E-2</v>
      </c>
      <c r="T12" s="50">
        <f t="shared" si="3"/>
        <v>0.10224426555364699</v>
      </c>
      <c r="U12" s="50">
        <f t="shared" si="3"/>
        <v>0.10452846326765339</v>
      </c>
      <c r="V12" s="50">
        <f t="shared" si="3"/>
        <v>0.102244265553647</v>
      </c>
      <c r="W12" s="50">
        <f t="shared" si="3"/>
        <v>9.5491502812526219E-2</v>
      </c>
      <c r="X12" s="50">
        <f t="shared" si="3"/>
        <v>8.4565303179429063E-2</v>
      </c>
      <c r="Y12" s="50">
        <f t="shared" si="3"/>
        <v>6.9943194008044718E-2</v>
      </c>
      <c r="Z12" s="50">
        <f t="shared" si="3"/>
        <v>5.2264231633826819E-2</v>
      </c>
      <c r="AA12" s="50">
        <f t="shared" si="3"/>
        <v>3.2301071545602356E-2</v>
      </c>
      <c r="AB12" s="50">
        <f t="shared" si="3"/>
        <v>1.0926199633097156E-2</v>
      </c>
      <c r="AC12" s="50" t="str">
        <f t="shared" si="3"/>
        <v>-</v>
      </c>
      <c r="AD12" s="50" t="str">
        <f t="shared" si="3"/>
        <v>-</v>
      </c>
      <c r="AE12" s="50" t="str">
        <f t="shared" si="3"/>
        <v>-</v>
      </c>
      <c r="AF12" s="50" t="str">
        <f t="shared" si="3"/>
        <v>-</v>
      </c>
      <c r="AG12" s="50" t="str">
        <f t="shared" si="3"/>
        <v>-</v>
      </c>
      <c r="AH12" s="50" t="str">
        <f t="shared" si="3"/>
        <v>-</v>
      </c>
      <c r="AI12" s="50" t="str">
        <f t="shared" si="3"/>
        <v>-</v>
      </c>
      <c r="AJ12" s="50" t="str">
        <f t="shared" si="3"/>
        <v>-</v>
      </c>
      <c r="AK12" s="50" t="str">
        <f t="shared" si="3"/>
        <v>-</v>
      </c>
      <c r="AL12" s="50" t="str">
        <f t="shared" si="3"/>
        <v>-</v>
      </c>
      <c r="AM12" s="50" t="str">
        <f t="shared" si="3"/>
        <v>-</v>
      </c>
      <c r="AN12" s="50" t="str">
        <f t="shared" si="3"/>
        <v>-</v>
      </c>
      <c r="AO12" s="50" t="str">
        <f t="shared" si="3"/>
        <v>-</v>
      </c>
      <c r="AP12" s="50" t="str">
        <f t="shared" si="3"/>
        <v>-</v>
      </c>
      <c r="AQ12" s="50" t="str">
        <f t="shared" si="3"/>
        <v>-</v>
      </c>
      <c r="AR12" s="50" t="str">
        <f t="shared" si="3"/>
        <v>-</v>
      </c>
      <c r="AS12" s="50" t="str">
        <f t="shared" si="3"/>
        <v>-</v>
      </c>
      <c r="AT12" s="50" t="str">
        <f t="shared" si="3"/>
        <v>-</v>
      </c>
      <c r="AU12" s="50" t="str">
        <f t="shared" si="3"/>
        <v>-</v>
      </c>
      <c r="AV12" s="50" t="str">
        <f t="shared" si="3"/>
        <v>-</v>
      </c>
      <c r="AW12" s="50" t="str">
        <f t="shared" si="3"/>
        <v>-</v>
      </c>
      <c r="AX12" s="50" t="str">
        <f t="shared" si="3"/>
        <v>-</v>
      </c>
      <c r="AY12" s="50" t="str">
        <f t="shared" si="3"/>
        <v>-</v>
      </c>
      <c r="AZ12" s="50" t="str">
        <f t="shared" si="3"/>
        <v>-</v>
      </c>
      <c r="BA12" s="50" t="str">
        <f t="shared" si="3"/>
        <v>-</v>
      </c>
      <c r="BB12" s="50" t="str">
        <f t="shared" si="3"/>
        <v>-</v>
      </c>
      <c r="BC12" s="50" t="str">
        <f t="shared" si="3"/>
        <v>-</v>
      </c>
      <c r="BD12" s="50" t="str">
        <f t="shared" si="3"/>
        <v>-</v>
      </c>
      <c r="BE12" s="50" t="str">
        <f t="shared" si="3"/>
        <v>-</v>
      </c>
      <c r="BF12" s="50" t="str">
        <f t="shared" si="3"/>
        <v>-</v>
      </c>
      <c r="BG12" s="50" t="str">
        <f t="shared" si="3"/>
        <v>-</v>
      </c>
      <c r="BH12" s="50" t="str">
        <f t="shared" si="3"/>
        <v>-</v>
      </c>
      <c r="BI12" s="50" t="str">
        <f t="shared" si="3"/>
        <v>-</v>
      </c>
      <c r="BJ12" s="50" t="str">
        <f t="shared" si="3"/>
        <v>-</v>
      </c>
      <c r="BK12" s="50" t="str">
        <f t="shared" si="3"/>
        <v>-</v>
      </c>
      <c r="BL12" s="50" t="str">
        <f t="shared" si="3"/>
        <v>-</v>
      </c>
      <c r="BM12" s="50" t="str">
        <f t="shared" si="3"/>
        <v>-</v>
      </c>
      <c r="BN12" s="50" t="str">
        <f t="shared" si="3"/>
        <v>-</v>
      </c>
      <c r="BO12" s="50" t="str">
        <f t="shared" si="3"/>
        <v>-</v>
      </c>
      <c r="BP12" s="50" t="str">
        <f t="shared" si="3"/>
        <v>-</v>
      </c>
      <c r="BQ12" s="50" t="str">
        <f t="shared" si="3"/>
        <v>-</v>
      </c>
      <c r="BR12" s="50" t="str">
        <f t="shared" si="3"/>
        <v>-</v>
      </c>
      <c r="BS12" s="50" t="str">
        <f t="shared" si="3"/>
        <v>-</v>
      </c>
      <c r="BT12" s="50" t="str">
        <f t="shared" si="3"/>
        <v>-</v>
      </c>
      <c r="BU12" s="50" t="str">
        <f t="shared" si="3"/>
        <v>-</v>
      </c>
    </row>
    <row r="13" spans="2:73">
      <c r="B13" s="108" t="s">
        <v>41</v>
      </c>
      <c r="F13" s="92">
        <f>F12</f>
        <v>0</v>
      </c>
      <c r="G13" s="92">
        <f>F13</f>
        <v>0</v>
      </c>
      <c r="J13" s="109">
        <f>K13/$K$8</f>
        <v>50</v>
      </c>
      <c r="K13" s="110">
        <v>4000000</v>
      </c>
      <c r="L13" s="140" t="str">
        <f t="shared" ref="L13:L36" si="4">IF(ROUND(SUM(M13:BU13)-K13,2)=0,"OK","ERR")</f>
        <v>OK</v>
      </c>
      <c r="M13" s="111">
        <f>AND(M$3&gt;=$F13,M$3&lt;=$G13)*($K13/($G13-$F13+1))</f>
        <v>4000000</v>
      </c>
      <c r="N13" s="111">
        <f t="shared" ref="N13:BU13" si="5">AND(N$3&gt;=$F13,N$3&lt;=$G13)*($K13/($G13-$F13+1))</f>
        <v>0</v>
      </c>
      <c r="O13" s="111">
        <f t="shared" si="5"/>
        <v>0</v>
      </c>
      <c r="P13" s="111">
        <f t="shared" si="5"/>
        <v>0</v>
      </c>
      <c r="Q13" s="111">
        <f t="shared" si="5"/>
        <v>0</v>
      </c>
      <c r="R13" s="111">
        <f t="shared" si="5"/>
        <v>0</v>
      </c>
      <c r="S13" s="111">
        <f t="shared" si="5"/>
        <v>0</v>
      </c>
      <c r="T13" s="111">
        <f t="shared" si="5"/>
        <v>0</v>
      </c>
      <c r="U13" s="111">
        <f t="shared" si="5"/>
        <v>0</v>
      </c>
      <c r="V13" s="111">
        <f t="shared" si="5"/>
        <v>0</v>
      </c>
      <c r="W13" s="111">
        <f t="shared" si="5"/>
        <v>0</v>
      </c>
      <c r="X13" s="111">
        <f t="shared" si="5"/>
        <v>0</v>
      </c>
      <c r="Y13" s="111">
        <f t="shared" si="5"/>
        <v>0</v>
      </c>
      <c r="Z13" s="111">
        <f t="shared" si="5"/>
        <v>0</v>
      </c>
      <c r="AA13" s="111">
        <f t="shared" si="5"/>
        <v>0</v>
      </c>
      <c r="AB13" s="111">
        <f t="shared" si="5"/>
        <v>0</v>
      </c>
      <c r="AC13" s="111">
        <f t="shared" si="5"/>
        <v>0</v>
      </c>
      <c r="AD13" s="111">
        <f t="shared" si="5"/>
        <v>0</v>
      </c>
      <c r="AE13" s="111">
        <f t="shared" si="5"/>
        <v>0</v>
      </c>
      <c r="AF13" s="111">
        <f t="shared" si="5"/>
        <v>0</v>
      </c>
      <c r="AG13" s="111">
        <f t="shared" si="5"/>
        <v>0</v>
      </c>
      <c r="AH13" s="111">
        <f t="shared" si="5"/>
        <v>0</v>
      </c>
      <c r="AI13" s="111">
        <f t="shared" si="5"/>
        <v>0</v>
      </c>
      <c r="AJ13" s="111">
        <f t="shared" si="5"/>
        <v>0</v>
      </c>
      <c r="AK13" s="111">
        <f t="shared" si="5"/>
        <v>0</v>
      </c>
      <c r="AL13" s="111">
        <f t="shared" si="5"/>
        <v>0</v>
      </c>
      <c r="AM13" s="111">
        <f t="shared" si="5"/>
        <v>0</v>
      </c>
      <c r="AN13" s="111">
        <f t="shared" si="5"/>
        <v>0</v>
      </c>
      <c r="AO13" s="111">
        <f t="shared" si="5"/>
        <v>0</v>
      </c>
      <c r="AP13" s="111">
        <f t="shared" si="5"/>
        <v>0</v>
      </c>
      <c r="AQ13" s="111">
        <f t="shared" si="5"/>
        <v>0</v>
      </c>
      <c r="AR13" s="111">
        <f t="shared" si="5"/>
        <v>0</v>
      </c>
      <c r="AS13" s="111">
        <f t="shared" si="5"/>
        <v>0</v>
      </c>
      <c r="AT13" s="111">
        <f t="shared" si="5"/>
        <v>0</v>
      </c>
      <c r="AU13" s="111">
        <f t="shared" si="5"/>
        <v>0</v>
      </c>
      <c r="AV13" s="111">
        <f t="shared" si="5"/>
        <v>0</v>
      </c>
      <c r="AW13" s="111">
        <f t="shared" si="5"/>
        <v>0</v>
      </c>
      <c r="AX13" s="111">
        <f t="shared" si="5"/>
        <v>0</v>
      </c>
      <c r="AY13" s="111">
        <f t="shared" si="5"/>
        <v>0</v>
      </c>
      <c r="AZ13" s="111">
        <f t="shared" si="5"/>
        <v>0</v>
      </c>
      <c r="BA13" s="111">
        <f t="shared" si="5"/>
        <v>0</v>
      </c>
      <c r="BB13" s="111">
        <f t="shared" si="5"/>
        <v>0</v>
      </c>
      <c r="BC13" s="111">
        <f t="shared" si="5"/>
        <v>0</v>
      </c>
      <c r="BD13" s="111">
        <f t="shared" si="5"/>
        <v>0</v>
      </c>
      <c r="BE13" s="111">
        <f t="shared" si="5"/>
        <v>0</v>
      </c>
      <c r="BF13" s="111">
        <f t="shared" si="5"/>
        <v>0</v>
      </c>
      <c r="BG13" s="111">
        <f t="shared" si="5"/>
        <v>0</v>
      </c>
      <c r="BH13" s="111">
        <f t="shared" si="5"/>
        <v>0</v>
      </c>
      <c r="BI13" s="111">
        <f t="shared" si="5"/>
        <v>0</v>
      </c>
      <c r="BJ13" s="111">
        <f t="shared" si="5"/>
        <v>0</v>
      </c>
      <c r="BK13" s="111">
        <f t="shared" si="5"/>
        <v>0</v>
      </c>
      <c r="BL13" s="111">
        <f t="shared" si="5"/>
        <v>0</v>
      </c>
      <c r="BM13" s="111">
        <f t="shared" si="5"/>
        <v>0</v>
      </c>
      <c r="BN13" s="111">
        <f t="shared" si="5"/>
        <v>0</v>
      </c>
      <c r="BO13" s="111">
        <f t="shared" si="5"/>
        <v>0</v>
      </c>
      <c r="BP13" s="111">
        <f t="shared" si="5"/>
        <v>0</v>
      </c>
      <c r="BQ13" s="111">
        <f t="shared" si="5"/>
        <v>0</v>
      </c>
      <c r="BR13" s="111">
        <f t="shared" si="5"/>
        <v>0</v>
      </c>
      <c r="BS13" s="111">
        <f t="shared" si="5"/>
        <v>0</v>
      </c>
      <c r="BT13" s="111">
        <f t="shared" si="5"/>
        <v>0</v>
      </c>
      <c r="BU13" s="111">
        <f t="shared" si="5"/>
        <v>0</v>
      </c>
    </row>
    <row r="14" spans="2:73">
      <c r="B14" s="108" t="s">
        <v>46</v>
      </c>
      <c r="F14" s="92">
        <f>F12</f>
        <v>0</v>
      </c>
      <c r="G14" s="92">
        <f>F14</f>
        <v>0</v>
      </c>
      <c r="J14" s="24">
        <f>K14/$K$8</f>
        <v>0.5</v>
      </c>
      <c r="K14" s="110">
        <f>0.01*K13</f>
        <v>40000</v>
      </c>
      <c r="L14" s="140" t="str">
        <f t="shared" si="4"/>
        <v>OK</v>
      </c>
      <c r="M14" s="111">
        <f t="shared" ref="M14:AB31" si="6">AND(M$3&gt;=$F14,M$3&lt;=$G14)*($K14/($G14-$F14+1))</f>
        <v>40000</v>
      </c>
      <c r="N14" s="111">
        <f t="shared" si="6"/>
        <v>0</v>
      </c>
      <c r="O14" s="111">
        <f t="shared" si="6"/>
        <v>0</v>
      </c>
      <c r="P14" s="111">
        <f t="shared" si="6"/>
        <v>0</v>
      </c>
      <c r="Q14" s="111">
        <f t="shared" si="6"/>
        <v>0</v>
      </c>
      <c r="R14" s="111">
        <f t="shared" si="6"/>
        <v>0</v>
      </c>
      <c r="S14" s="111">
        <f t="shared" si="6"/>
        <v>0</v>
      </c>
      <c r="T14" s="111">
        <f t="shared" si="6"/>
        <v>0</v>
      </c>
      <c r="U14" s="111">
        <f t="shared" si="6"/>
        <v>0</v>
      </c>
      <c r="V14" s="111">
        <f t="shared" si="6"/>
        <v>0</v>
      </c>
      <c r="W14" s="111">
        <f t="shared" si="6"/>
        <v>0</v>
      </c>
      <c r="X14" s="111">
        <f t="shared" si="6"/>
        <v>0</v>
      </c>
      <c r="Y14" s="111">
        <f t="shared" si="6"/>
        <v>0</v>
      </c>
      <c r="Z14" s="111">
        <f t="shared" si="6"/>
        <v>0</v>
      </c>
      <c r="AA14" s="111">
        <f t="shared" si="6"/>
        <v>0</v>
      </c>
      <c r="AB14" s="111">
        <f t="shared" si="6"/>
        <v>0</v>
      </c>
      <c r="AC14" s="111">
        <f t="shared" ref="N14:BU18" si="7">AND(AC$3&gt;=$F14,AC$3&lt;=$G14)*($K14/($G14-$F14+1))</f>
        <v>0</v>
      </c>
      <c r="AD14" s="111">
        <f t="shared" si="7"/>
        <v>0</v>
      </c>
      <c r="AE14" s="111">
        <f t="shared" si="7"/>
        <v>0</v>
      </c>
      <c r="AF14" s="111">
        <f t="shared" si="7"/>
        <v>0</v>
      </c>
      <c r="AG14" s="111">
        <f t="shared" si="7"/>
        <v>0</v>
      </c>
      <c r="AH14" s="111">
        <f t="shared" si="7"/>
        <v>0</v>
      </c>
      <c r="AI14" s="111">
        <f t="shared" si="7"/>
        <v>0</v>
      </c>
      <c r="AJ14" s="111">
        <f t="shared" si="7"/>
        <v>0</v>
      </c>
      <c r="AK14" s="111">
        <f t="shared" si="7"/>
        <v>0</v>
      </c>
      <c r="AL14" s="111">
        <f t="shared" si="7"/>
        <v>0</v>
      </c>
      <c r="AM14" s="111">
        <f t="shared" si="7"/>
        <v>0</v>
      </c>
      <c r="AN14" s="111">
        <f t="shared" si="7"/>
        <v>0</v>
      </c>
      <c r="AO14" s="111">
        <f t="shared" si="7"/>
        <v>0</v>
      </c>
      <c r="AP14" s="111">
        <f t="shared" si="7"/>
        <v>0</v>
      </c>
      <c r="AQ14" s="111">
        <f t="shared" si="7"/>
        <v>0</v>
      </c>
      <c r="AR14" s="111">
        <f t="shared" si="7"/>
        <v>0</v>
      </c>
      <c r="AS14" s="111">
        <f t="shared" si="7"/>
        <v>0</v>
      </c>
      <c r="AT14" s="111">
        <f t="shared" si="7"/>
        <v>0</v>
      </c>
      <c r="AU14" s="111">
        <f t="shared" si="7"/>
        <v>0</v>
      </c>
      <c r="AV14" s="111">
        <f t="shared" si="7"/>
        <v>0</v>
      </c>
      <c r="AW14" s="111">
        <f t="shared" si="7"/>
        <v>0</v>
      </c>
      <c r="AX14" s="111">
        <f t="shared" si="7"/>
        <v>0</v>
      </c>
      <c r="AY14" s="111">
        <f t="shared" si="7"/>
        <v>0</v>
      </c>
      <c r="AZ14" s="111">
        <f t="shared" si="7"/>
        <v>0</v>
      </c>
      <c r="BA14" s="111">
        <f t="shared" si="7"/>
        <v>0</v>
      </c>
      <c r="BB14" s="111">
        <f t="shared" si="7"/>
        <v>0</v>
      </c>
      <c r="BC14" s="111">
        <f t="shared" si="7"/>
        <v>0</v>
      </c>
      <c r="BD14" s="111">
        <f t="shared" si="7"/>
        <v>0</v>
      </c>
      <c r="BE14" s="111">
        <f t="shared" si="7"/>
        <v>0</v>
      </c>
      <c r="BF14" s="111">
        <f t="shared" si="7"/>
        <v>0</v>
      </c>
      <c r="BG14" s="111">
        <f t="shared" si="7"/>
        <v>0</v>
      </c>
      <c r="BH14" s="111">
        <f t="shared" si="7"/>
        <v>0</v>
      </c>
      <c r="BI14" s="111">
        <f t="shared" si="7"/>
        <v>0</v>
      </c>
      <c r="BJ14" s="111">
        <f t="shared" si="7"/>
        <v>0</v>
      </c>
      <c r="BK14" s="111">
        <f t="shared" si="7"/>
        <v>0</v>
      </c>
      <c r="BL14" s="111">
        <f t="shared" si="7"/>
        <v>0</v>
      </c>
      <c r="BM14" s="111">
        <f t="shared" si="7"/>
        <v>0</v>
      </c>
      <c r="BN14" s="111">
        <f t="shared" si="7"/>
        <v>0</v>
      </c>
      <c r="BO14" s="111">
        <f t="shared" si="7"/>
        <v>0</v>
      </c>
      <c r="BP14" s="111">
        <f t="shared" si="7"/>
        <v>0</v>
      </c>
      <c r="BQ14" s="111">
        <f t="shared" si="7"/>
        <v>0</v>
      </c>
      <c r="BR14" s="111">
        <f t="shared" si="7"/>
        <v>0</v>
      </c>
      <c r="BS14" s="111">
        <f t="shared" si="7"/>
        <v>0</v>
      </c>
      <c r="BT14" s="111">
        <f t="shared" si="7"/>
        <v>0</v>
      </c>
      <c r="BU14" s="111">
        <f t="shared" si="7"/>
        <v>0</v>
      </c>
    </row>
    <row r="15" spans="2:73">
      <c r="B15" s="108" t="s">
        <v>23</v>
      </c>
      <c r="F15" s="92">
        <f>F12+1</f>
        <v>1</v>
      </c>
      <c r="G15" s="92">
        <f>G12</f>
        <v>15</v>
      </c>
      <c r="J15" s="25">
        <v>145</v>
      </c>
      <c r="K15" s="112">
        <f>J15*K8</f>
        <v>11600000</v>
      </c>
      <c r="L15" s="140" t="str">
        <f t="shared" si="4"/>
        <v>OK</v>
      </c>
      <c r="M15" s="111">
        <f>AND(M$3&gt;=$F15,M$3&lt;=$G15)*$K15*N(M$12)</f>
        <v>0</v>
      </c>
      <c r="N15" s="111">
        <f t="shared" ref="N15:BU15" si="8">AND(N$3&gt;=$F15,N$3&lt;=$G15)*$K15*N(N$12)</f>
        <v>126743.91574392701</v>
      </c>
      <c r="O15" s="111">
        <f t="shared" si="8"/>
        <v>374692.42992898799</v>
      </c>
      <c r="P15" s="111">
        <f t="shared" si="8"/>
        <v>606265.0869523898</v>
      </c>
      <c r="Q15" s="111">
        <f t="shared" si="8"/>
        <v>811341.05049331742</v>
      </c>
      <c r="R15" s="111">
        <f t="shared" si="8"/>
        <v>980957.51688137709</v>
      </c>
      <c r="S15" s="111">
        <f t="shared" si="8"/>
        <v>1107701.4326253054</v>
      </c>
      <c r="T15" s="111">
        <f t="shared" si="8"/>
        <v>1186033.4804223052</v>
      </c>
      <c r="U15" s="111">
        <f t="shared" si="8"/>
        <v>1212530.1739047794</v>
      </c>
      <c r="V15" s="111">
        <f t="shared" si="8"/>
        <v>1186033.4804223052</v>
      </c>
      <c r="W15" s="111">
        <f t="shared" si="8"/>
        <v>1107701.4326253042</v>
      </c>
      <c r="X15" s="111">
        <f t="shared" si="8"/>
        <v>980957.51688137709</v>
      </c>
      <c r="Y15" s="111">
        <f t="shared" si="8"/>
        <v>811341.0504933187</v>
      </c>
      <c r="Z15" s="111">
        <f t="shared" si="8"/>
        <v>606265.08695239108</v>
      </c>
      <c r="AA15" s="111">
        <f t="shared" si="8"/>
        <v>374692.42992898735</v>
      </c>
      <c r="AB15" s="111">
        <f t="shared" si="8"/>
        <v>126743.91574392701</v>
      </c>
      <c r="AC15" s="111">
        <f t="shared" si="8"/>
        <v>0</v>
      </c>
      <c r="AD15" s="111">
        <f t="shared" si="8"/>
        <v>0</v>
      </c>
      <c r="AE15" s="111">
        <f t="shared" si="8"/>
        <v>0</v>
      </c>
      <c r="AF15" s="111">
        <f t="shared" si="8"/>
        <v>0</v>
      </c>
      <c r="AG15" s="111">
        <f t="shared" si="8"/>
        <v>0</v>
      </c>
      <c r="AH15" s="111">
        <f t="shared" si="8"/>
        <v>0</v>
      </c>
      <c r="AI15" s="111">
        <f t="shared" si="8"/>
        <v>0</v>
      </c>
      <c r="AJ15" s="111">
        <f t="shared" si="8"/>
        <v>0</v>
      </c>
      <c r="AK15" s="111">
        <f t="shared" si="8"/>
        <v>0</v>
      </c>
      <c r="AL15" s="111">
        <f t="shared" si="8"/>
        <v>0</v>
      </c>
      <c r="AM15" s="111">
        <f t="shared" si="8"/>
        <v>0</v>
      </c>
      <c r="AN15" s="111">
        <f t="shared" si="8"/>
        <v>0</v>
      </c>
      <c r="AO15" s="111">
        <f t="shared" si="8"/>
        <v>0</v>
      </c>
      <c r="AP15" s="111">
        <f t="shared" si="8"/>
        <v>0</v>
      </c>
      <c r="AQ15" s="111">
        <f t="shared" si="8"/>
        <v>0</v>
      </c>
      <c r="AR15" s="111">
        <f t="shared" si="8"/>
        <v>0</v>
      </c>
      <c r="AS15" s="111">
        <f t="shared" si="8"/>
        <v>0</v>
      </c>
      <c r="AT15" s="111">
        <f t="shared" si="8"/>
        <v>0</v>
      </c>
      <c r="AU15" s="111">
        <f t="shared" si="8"/>
        <v>0</v>
      </c>
      <c r="AV15" s="111">
        <f t="shared" si="8"/>
        <v>0</v>
      </c>
      <c r="AW15" s="111">
        <f t="shared" si="8"/>
        <v>0</v>
      </c>
      <c r="AX15" s="111">
        <f t="shared" si="8"/>
        <v>0</v>
      </c>
      <c r="AY15" s="111">
        <f t="shared" si="8"/>
        <v>0</v>
      </c>
      <c r="AZ15" s="111">
        <f t="shared" si="8"/>
        <v>0</v>
      </c>
      <c r="BA15" s="111">
        <f t="shared" si="8"/>
        <v>0</v>
      </c>
      <c r="BB15" s="111">
        <f t="shared" si="8"/>
        <v>0</v>
      </c>
      <c r="BC15" s="111">
        <f t="shared" si="8"/>
        <v>0</v>
      </c>
      <c r="BD15" s="111">
        <f t="shared" si="8"/>
        <v>0</v>
      </c>
      <c r="BE15" s="111">
        <f t="shared" si="8"/>
        <v>0</v>
      </c>
      <c r="BF15" s="111">
        <f t="shared" si="8"/>
        <v>0</v>
      </c>
      <c r="BG15" s="111">
        <f t="shared" si="8"/>
        <v>0</v>
      </c>
      <c r="BH15" s="111">
        <f t="shared" si="8"/>
        <v>0</v>
      </c>
      <c r="BI15" s="111">
        <f t="shared" si="8"/>
        <v>0</v>
      </c>
      <c r="BJ15" s="111">
        <f t="shared" si="8"/>
        <v>0</v>
      </c>
      <c r="BK15" s="111">
        <f t="shared" si="8"/>
        <v>0</v>
      </c>
      <c r="BL15" s="111">
        <f t="shared" si="8"/>
        <v>0</v>
      </c>
      <c r="BM15" s="111">
        <f t="shared" si="8"/>
        <v>0</v>
      </c>
      <c r="BN15" s="111">
        <f t="shared" si="8"/>
        <v>0</v>
      </c>
      <c r="BO15" s="111">
        <f t="shared" si="8"/>
        <v>0</v>
      </c>
      <c r="BP15" s="111">
        <f t="shared" si="8"/>
        <v>0</v>
      </c>
      <c r="BQ15" s="111">
        <f t="shared" si="8"/>
        <v>0</v>
      </c>
      <c r="BR15" s="111">
        <f t="shared" si="8"/>
        <v>0</v>
      </c>
      <c r="BS15" s="111">
        <f t="shared" si="8"/>
        <v>0</v>
      </c>
      <c r="BT15" s="111">
        <f t="shared" si="8"/>
        <v>0</v>
      </c>
      <c r="BU15" s="111">
        <f t="shared" si="8"/>
        <v>0</v>
      </c>
    </row>
    <row r="16" spans="2:73">
      <c r="B16" s="108" t="s">
        <v>106</v>
      </c>
      <c r="F16" s="92">
        <f>F12+1</f>
        <v>1</v>
      </c>
      <c r="G16" s="92">
        <f>G12</f>
        <v>15</v>
      </c>
      <c r="H16" s="113"/>
      <c r="J16" s="24">
        <f t="shared" ref="J16:J34" si="9">K16/$K$8</f>
        <v>21.75</v>
      </c>
      <c r="K16" s="110">
        <f>K15*0.15</f>
        <v>1740000</v>
      </c>
      <c r="L16" s="140" t="str">
        <f t="shared" si="4"/>
        <v>OK</v>
      </c>
      <c r="M16" s="111">
        <f t="shared" si="6"/>
        <v>0</v>
      </c>
      <c r="N16" s="111">
        <f t="shared" si="7"/>
        <v>116000</v>
      </c>
      <c r="O16" s="111">
        <f t="shared" si="7"/>
        <v>116000</v>
      </c>
      <c r="P16" s="111">
        <f t="shared" si="7"/>
        <v>116000</v>
      </c>
      <c r="Q16" s="111">
        <f t="shared" si="7"/>
        <v>116000</v>
      </c>
      <c r="R16" s="111">
        <f t="shared" si="7"/>
        <v>116000</v>
      </c>
      <c r="S16" s="111">
        <f t="shared" si="7"/>
        <v>116000</v>
      </c>
      <c r="T16" s="111">
        <f t="shared" si="7"/>
        <v>116000</v>
      </c>
      <c r="U16" s="111">
        <f t="shared" si="7"/>
        <v>116000</v>
      </c>
      <c r="V16" s="111">
        <f t="shared" si="7"/>
        <v>116000</v>
      </c>
      <c r="W16" s="111">
        <f t="shared" si="7"/>
        <v>116000</v>
      </c>
      <c r="X16" s="111">
        <f t="shared" si="7"/>
        <v>116000</v>
      </c>
      <c r="Y16" s="111">
        <f t="shared" si="7"/>
        <v>116000</v>
      </c>
      <c r="Z16" s="111">
        <f t="shared" si="7"/>
        <v>116000</v>
      </c>
      <c r="AA16" s="111">
        <f t="shared" si="7"/>
        <v>116000</v>
      </c>
      <c r="AB16" s="111">
        <f t="shared" si="7"/>
        <v>116000</v>
      </c>
      <c r="AC16" s="111">
        <f t="shared" si="7"/>
        <v>0</v>
      </c>
      <c r="AD16" s="111">
        <f t="shared" si="7"/>
        <v>0</v>
      </c>
      <c r="AE16" s="111">
        <f t="shared" si="7"/>
        <v>0</v>
      </c>
      <c r="AF16" s="111">
        <f t="shared" si="7"/>
        <v>0</v>
      </c>
      <c r="AG16" s="111">
        <f t="shared" si="7"/>
        <v>0</v>
      </c>
      <c r="AH16" s="111">
        <f t="shared" si="7"/>
        <v>0</v>
      </c>
      <c r="AI16" s="111">
        <f t="shared" si="7"/>
        <v>0</v>
      </c>
      <c r="AJ16" s="111">
        <f t="shared" si="7"/>
        <v>0</v>
      </c>
      <c r="AK16" s="111">
        <f t="shared" si="7"/>
        <v>0</v>
      </c>
      <c r="AL16" s="111">
        <f t="shared" si="7"/>
        <v>0</v>
      </c>
      <c r="AM16" s="111">
        <f t="shared" si="7"/>
        <v>0</v>
      </c>
      <c r="AN16" s="111">
        <f t="shared" si="7"/>
        <v>0</v>
      </c>
      <c r="AO16" s="111">
        <f t="shared" si="7"/>
        <v>0</v>
      </c>
      <c r="AP16" s="111">
        <f t="shared" si="7"/>
        <v>0</v>
      </c>
      <c r="AQ16" s="111">
        <f t="shared" si="7"/>
        <v>0</v>
      </c>
      <c r="AR16" s="111">
        <f t="shared" si="7"/>
        <v>0</v>
      </c>
      <c r="AS16" s="111">
        <f t="shared" si="7"/>
        <v>0</v>
      </c>
      <c r="AT16" s="111">
        <f t="shared" si="7"/>
        <v>0</v>
      </c>
      <c r="AU16" s="111">
        <f t="shared" si="7"/>
        <v>0</v>
      </c>
      <c r="AV16" s="111">
        <f t="shared" si="7"/>
        <v>0</v>
      </c>
      <c r="AW16" s="111">
        <f t="shared" si="7"/>
        <v>0</v>
      </c>
      <c r="AX16" s="111">
        <f t="shared" si="7"/>
        <v>0</v>
      </c>
      <c r="AY16" s="111">
        <f t="shared" si="7"/>
        <v>0</v>
      </c>
      <c r="AZ16" s="111">
        <f t="shared" si="7"/>
        <v>0</v>
      </c>
      <c r="BA16" s="111">
        <f t="shared" si="7"/>
        <v>0</v>
      </c>
      <c r="BB16" s="111">
        <f t="shared" si="7"/>
        <v>0</v>
      </c>
      <c r="BC16" s="111">
        <f t="shared" si="7"/>
        <v>0</v>
      </c>
      <c r="BD16" s="111">
        <f t="shared" si="7"/>
        <v>0</v>
      </c>
      <c r="BE16" s="111">
        <f t="shared" si="7"/>
        <v>0</v>
      </c>
      <c r="BF16" s="111">
        <f t="shared" si="7"/>
        <v>0</v>
      </c>
      <c r="BG16" s="111">
        <f t="shared" si="7"/>
        <v>0</v>
      </c>
      <c r="BH16" s="111">
        <f t="shared" si="7"/>
        <v>0</v>
      </c>
      <c r="BI16" s="111">
        <f t="shared" si="7"/>
        <v>0</v>
      </c>
      <c r="BJ16" s="111">
        <f t="shared" si="7"/>
        <v>0</v>
      </c>
      <c r="BK16" s="111">
        <f t="shared" si="7"/>
        <v>0</v>
      </c>
      <c r="BL16" s="111">
        <f t="shared" si="7"/>
        <v>0</v>
      </c>
      <c r="BM16" s="111">
        <f t="shared" si="7"/>
        <v>0</v>
      </c>
      <c r="BN16" s="111">
        <f t="shared" si="7"/>
        <v>0</v>
      </c>
      <c r="BO16" s="111">
        <f t="shared" si="7"/>
        <v>0</v>
      </c>
      <c r="BP16" s="111">
        <f t="shared" si="7"/>
        <v>0</v>
      </c>
      <c r="BQ16" s="111">
        <f t="shared" si="7"/>
        <v>0</v>
      </c>
      <c r="BR16" s="111">
        <f t="shared" si="7"/>
        <v>0</v>
      </c>
      <c r="BS16" s="111">
        <f t="shared" si="7"/>
        <v>0</v>
      </c>
      <c r="BT16" s="111">
        <f t="shared" si="7"/>
        <v>0</v>
      </c>
      <c r="BU16" s="111">
        <f t="shared" si="7"/>
        <v>0</v>
      </c>
    </row>
    <row r="17" spans="2:73">
      <c r="B17" s="108" t="s">
        <v>107</v>
      </c>
      <c r="F17" s="92">
        <f>F12+1</f>
        <v>1</v>
      </c>
      <c r="G17" s="92">
        <f>G12</f>
        <v>15</v>
      </c>
      <c r="H17" s="113"/>
      <c r="I17" s="116" t="s">
        <v>103</v>
      </c>
      <c r="J17" s="24">
        <f t="shared" si="9"/>
        <v>7.25</v>
      </c>
      <c r="K17" s="110">
        <f>K15*0.05</f>
        <v>580000</v>
      </c>
      <c r="L17" s="140" t="str">
        <f t="shared" si="4"/>
        <v>OK</v>
      </c>
      <c r="M17" s="111">
        <f>AND(M$3&gt;=$F17,M$3&lt;=$G17)*$K17*N(M$12)</f>
        <v>0</v>
      </c>
      <c r="N17" s="111">
        <f t="shared" ref="N17:BU17" si="10">AND(N$3&gt;=$F17,N$3&lt;=$G17)*$K17*N(N$12)</f>
        <v>6337.1957871963505</v>
      </c>
      <c r="O17" s="111">
        <f t="shared" si="10"/>
        <v>18734.621496449399</v>
      </c>
      <c r="P17" s="111">
        <f t="shared" si="10"/>
        <v>30313.254347619491</v>
      </c>
      <c r="Q17" s="111">
        <f t="shared" si="10"/>
        <v>40567.052524665873</v>
      </c>
      <c r="R17" s="111">
        <f t="shared" si="10"/>
        <v>49047.875844068854</v>
      </c>
      <c r="S17" s="111">
        <f t="shared" si="10"/>
        <v>55385.071631265273</v>
      </c>
      <c r="T17" s="111">
        <f t="shared" si="10"/>
        <v>59301.674021115257</v>
      </c>
      <c r="U17" s="111">
        <f t="shared" si="10"/>
        <v>60626.508695238968</v>
      </c>
      <c r="V17" s="111">
        <f t="shared" si="10"/>
        <v>59301.674021115265</v>
      </c>
      <c r="W17" s="111">
        <f t="shared" si="10"/>
        <v>55385.071631265208</v>
      </c>
      <c r="X17" s="111">
        <f t="shared" si="10"/>
        <v>49047.875844068854</v>
      </c>
      <c r="Y17" s="111">
        <f t="shared" si="10"/>
        <v>40567.052524665938</v>
      </c>
      <c r="Z17" s="111">
        <f t="shared" si="10"/>
        <v>30313.254347619553</v>
      </c>
      <c r="AA17" s="111">
        <f t="shared" si="10"/>
        <v>18734.621496449367</v>
      </c>
      <c r="AB17" s="111">
        <f t="shared" si="10"/>
        <v>6337.1957871963505</v>
      </c>
      <c r="AC17" s="111">
        <f t="shared" si="10"/>
        <v>0</v>
      </c>
      <c r="AD17" s="111">
        <f t="shared" si="10"/>
        <v>0</v>
      </c>
      <c r="AE17" s="111">
        <f t="shared" si="10"/>
        <v>0</v>
      </c>
      <c r="AF17" s="111">
        <f t="shared" si="10"/>
        <v>0</v>
      </c>
      <c r="AG17" s="111">
        <f t="shared" si="10"/>
        <v>0</v>
      </c>
      <c r="AH17" s="111">
        <f t="shared" si="10"/>
        <v>0</v>
      </c>
      <c r="AI17" s="111">
        <f t="shared" si="10"/>
        <v>0</v>
      </c>
      <c r="AJ17" s="111">
        <f t="shared" si="10"/>
        <v>0</v>
      </c>
      <c r="AK17" s="111">
        <f t="shared" si="10"/>
        <v>0</v>
      </c>
      <c r="AL17" s="111">
        <f t="shared" si="10"/>
        <v>0</v>
      </c>
      <c r="AM17" s="111">
        <f t="shared" si="10"/>
        <v>0</v>
      </c>
      <c r="AN17" s="111">
        <f t="shared" si="10"/>
        <v>0</v>
      </c>
      <c r="AO17" s="111">
        <f t="shared" si="10"/>
        <v>0</v>
      </c>
      <c r="AP17" s="111">
        <f t="shared" si="10"/>
        <v>0</v>
      </c>
      <c r="AQ17" s="111">
        <f t="shared" si="10"/>
        <v>0</v>
      </c>
      <c r="AR17" s="111">
        <f t="shared" si="10"/>
        <v>0</v>
      </c>
      <c r="AS17" s="111">
        <f t="shared" si="10"/>
        <v>0</v>
      </c>
      <c r="AT17" s="111">
        <f t="shared" si="10"/>
        <v>0</v>
      </c>
      <c r="AU17" s="111">
        <f t="shared" si="10"/>
        <v>0</v>
      </c>
      <c r="AV17" s="111">
        <f t="shared" si="10"/>
        <v>0</v>
      </c>
      <c r="AW17" s="111">
        <f t="shared" si="10"/>
        <v>0</v>
      </c>
      <c r="AX17" s="111">
        <f t="shared" si="10"/>
        <v>0</v>
      </c>
      <c r="AY17" s="111">
        <f t="shared" si="10"/>
        <v>0</v>
      </c>
      <c r="AZ17" s="111">
        <f t="shared" si="10"/>
        <v>0</v>
      </c>
      <c r="BA17" s="111">
        <f t="shared" si="10"/>
        <v>0</v>
      </c>
      <c r="BB17" s="111">
        <f t="shared" si="10"/>
        <v>0</v>
      </c>
      <c r="BC17" s="111">
        <f t="shared" si="10"/>
        <v>0</v>
      </c>
      <c r="BD17" s="111">
        <f t="shared" si="10"/>
        <v>0</v>
      </c>
      <c r="BE17" s="111">
        <f t="shared" si="10"/>
        <v>0</v>
      </c>
      <c r="BF17" s="111">
        <f t="shared" si="10"/>
        <v>0</v>
      </c>
      <c r="BG17" s="111">
        <f t="shared" si="10"/>
        <v>0</v>
      </c>
      <c r="BH17" s="111">
        <f t="shared" si="10"/>
        <v>0</v>
      </c>
      <c r="BI17" s="111">
        <f t="shared" si="10"/>
        <v>0</v>
      </c>
      <c r="BJ17" s="111">
        <f t="shared" si="10"/>
        <v>0</v>
      </c>
      <c r="BK17" s="111">
        <f t="shared" si="10"/>
        <v>0</v>
      </c>
      <c r="BL17" s="111">
        <f t="shared" si="10"/>
        <v>0</v>
      </c>
      <c r="BM17" s="111">
        <f t="shared" si="10"/>
        <v>0</v>
      </c>
      <c r="BN17" s="111">
        <f t="shared" si="10"/>
        <v>0</v>
      </c>
      <c r="BO17" s="111">
        <f t="shared" si="10"/>
        <v>0</v>
      </c>
      <c r="BP17" s="111">
        <f t="shared" si="10"/>
        <v>0</v>
      </c>
      <c r="BQ17" s="111">
        <f t="shared" si="10"/>
        <v>0</v>
      </c>
      <c r="BR17" s="111">
        <f t="shared" si="10"/>
        <v>0</v>
      </c>
      <c r="BS17" s="111">
        <f t="shared" si="10"/>
        <v>0</v>
      </c>
      <c r="BT17" s="111">
        <f t="shared" si="10"/>
        <v>0</v>
      </c>
      <c r="BU17" s="111">
        <f t="shared" si="10"/>
        <v>0</v>
      </c>
    </row>
    <row r="18" spans="2:73">
      <c r="B18" s="108" t="s">
        <v>47</v>
      </c>
      <c r="F18" s="92">
        <f>F52</f>
        <v>16</v>
      </c>
      <c r="G18" s="92">
        <f>F18</f>
        <v>16</v>
      </c>
      <c r="H18" s="113"/>
      <c r="I18" s="25">
        <v>10</v>
      </c>
      <c r="J18" s="24">
        <f t="shared" si="9"/>
        <v>1.4285714285714286</v>
      </c>
      <c r="K18" s="114">
        <f t="shared" ref="K18:K24" si="11">$I$18*E52</f>
        <v>114285.71428571429</v>
      </c>
      <c r="L18" s="140" t="str">
        <f t="shared" si="4"/>
        <v>OK</v>
      </c>
      <c r="M18" s="111">
        <f t="shared" si="6"/>
        <v>0</v>
      </c>
      <c r="N18" s="111">
        <f t="shared" si="7"/>
        <v>0</v>
      </c>
      <c r="O18" s="111">
        <f t="shared" si="7"/>
        <v>0</v>
      </c>
      <c r="P18" s="111">
        <f t="shared" si="7"/>
        <v>0</v>
      </c>
      <c r="Q18" s="111">
        <f t="shared" si="7"/>
        <v>0</v>
      </c>
      <c r="R18" s="111">
        <f t="shared" si="7"/>
        <v>0</v>
      </c>
      <c r="S18" s="111">
        <f t="shared" si="7"/>
        <v>0</v>
      </c>
      <c r="T18" s="111">
        <f t="shared" si="7"/>
        <v>0</v>
      </c>
      <c r="U18" s="111">
        <f t="shared" si="7"/>
        <v>0</v>
      </c>
      <c r="V18" s="111">
        <f t="shared" si="7"/>
        <v>0</v>
      </c>
      <c r="W18" s="111">
        <f t="shared" si="7"/>
        <v>0</v>
      </c>
      <c r="X18" s="111">
        <f t="shared" si="7"/>
        <v>0</v>
      </c>
      <c r="Y18" s="111">
        <f t="shared" si="7"/>
        <v>0</v>
      </c>
      <c r="Z18" s="111">
        <f t="shared" si="7"/>
        <v>0</v>
      </c>
      <c r="AA18" s="111">
        <f t="shared" si="7"/>
        <v>0</v>
      </c>
      <c r="AB18" s="111">
        <f t="shared" si="7"/>
        <v>0</v>
      </c>
      <c r="AC18" s="111">
        <f t="shared" si="7"/>
        <v>114285.71428571429</v>
      </c>
      <c r="AD18" s="111">
        <f t="shared" si="7"/>
        <v>0</v>
      </c>
      <c r="AE18" s="111">
        <f t="shared" si="7"/>
        <v>0</v>
      </c>
      <c r="AF18" s="111">
        <f t="shared" si="7"/>
        <v>0</v>
      </c>
      <c r="AG18" s="111">
        <f t="shared" si="7"/>
        <v>0</v>
      </c>
      <c r="AH18" s="111">
        <f t="shared" si="7"/>
        <v>0</v>
      </c>
      <c r="AI18" s="111">
        <f t="shared" si="7"/>
        <v>0</v>
      </c>
      <c r="AJ18" s="111">
        <f t="shared" si="7"/>
        <v>0</v>
      </c>
      <c r="AK18" s="111">
        <f t="shared" si="7"/>
        <v>0</v>
      </c>
      <c r="AL18" s="111">
        <f t="shared" si="7"/>
        <v>0</v>
      </c>
      <c r="AM18" s="111">
        <f t="shared" si="7"/>
        <v>0</v>
      </c>
      <c r="AN18" s="111">
        <f t="shared" si="7"/>
        <v>0</v>
      </c>
      <c r="AO18" s="111">
        <f t="shared" si="7"/>
        <v>0</v>
      </c>
      <c r="AP18" s="111">
        <f t="shared" si="7"/>
        <v>0</v>
      </c>
      <c r="AQ18" s="111">
        <f t="shared" si="7"/>
        <v>0</v>
      </c>
      <c r="AR18" s="111">
        <f t="shared" ref="N18:BU22" si="12">AND(AR$3&gt;=$F18,AR$3&lt;=$G18)*($K18/($G18-$F18+1))</f>
        <v>0</v>
      </c>
      <c r="AS18" s="111">
        <f t="shared" si="12"/>
        <v>0</v>
      </c>
      <c r="AT18" s="111">
        <f t="shared" si="12"/>
        <v>0</v>
      </c>
      <c r="AU18" s="111">
        <f t="shared" si="12"/>
        <v>0</v>
      </c>
      <c r="AV18" s="111">
        <f t="shared" si="12"/>
        <v>0</v>
      </c>
      <c r="AW18" s="111">
        <f t="shared" si="12"/>
        <v>0</v>
      </c>
      <c r="AX18" s="111">
        <f t="shared" si="12"/>
        <v>0</v>
      </c>
      <c r="AY18" s="111">
        <f t="shared" si="12"/>
        <v>0</v>
      </c>
      <c r="AZ18" s="111">
        <f t="shared" si="12"/>
        <v>0</v>
      </c>
      <c r="BA18" s="111">
        <f t="shared" si="12"/>
        <v>0</v>
      </c>
      <c r="BB18" s="111">
        <f t="shared" si="12"/>
        <v>0</v>
      </c>
      <c r="BC18" s="111">
        <f t="shared" si="12"/>
        <v>0</v>
      </c>
      <c r="BD18" s="111">
        <f t="shared" si="12"/>
        <v>0</v>
      </c>
      <c r="BE18" s="111">
        <f t="shared" si="12"/>
        <v>0</v>
      </c>
      <c r="BF18" s="111">
        <f t="shared" si="12"/>
        <v>0</v>
      </c>
      <c r="BG18" s="111">
        <f t="shared" si="12"/>
        <v>0</v>
      </c>
      <c r="BH18" s="111">
        <f t="shared" si="12"/>
        <v>0</v>
      </c>
      <c r="BI18" s="111">
        <f t="shared" si="12"/>
        <v>0</v>
      </c>
      <c r="BJ18" s="111">
        <f t="shared" si="12"/>
        <v>0</v>
      </c>
      <c r="BK18" s="111">
        <f t="shared" si="12"/>
        <v>0</v>
      </c>
      <c r="BL18" s="111">
        <f t="shared" si="12"/>
        <v>0</v>
      </c>
      <c r="BM18" s="111">
        <f t="shared" si="12"/>
        <v>0</v>
      </c>
      <c r="BN18" s="111">
        <f t="shared" si="12"/>
        <v>0</v>
      </c>
      <c r="BO18" s="111">
        <f t="shared" si="12"/>
        <v>0</v>
      </c>
      <c r="BP18" s="111">
        <f t="shared" si="12"/>
        <v>0</v>
      </c>
      <c r="BQ18" s="111">
        <f t="shared" si="12"/>
        <v>0</v>
      </c>
      <c r="BR18" s="111">
        <f t="shared" si="12"/>
        <v>0</v>
      </c>
      <c r="BS18" s="111">
        <f t="shared" si="12"/>
        <v>0</v>
      </c>
      <c r="BT18" s="111">
        <f t="shared" si="12"/>
        <v>0</v>
      </c>
      <c r="BU18" s="111">
        <f t="shared" si="12"/>
        <v>0</v>
      </c>
    </row>
    <row r="19" spans="2:73">
      <c r="B19" s="108" t="s">
        <v>48</v>
      </c>
      <c r="F19" s="92">
        <f t="shared" ref="F19:F24" si="13">F53</f>
        <v>17</v>
      </c>
      <c r="G19" s="92">
        <f t="shared" ref="G19:G24" si="14">F19</f>
        <v>17</v>
      </c>
      <c r="J19" s="24">
        <f t="shared" si="9"/>
        <v>1.4285714285714286</v>
      </c>
      <c r="K19" s="114">
        <f t="shared" si="11"/>
        <v>114285.71428571429</v>
      </c>
      <c r="L19" s="140" t="str">
        <f t="shared" si="4"/>
        <v>OK</v>
      </c>
      <c r="M19" s="111">
        <f t="shared" si="6"/>
        <v>0</v>
      </c>
      <c r="N19" s="111">
        <f t="shared" si="12"/>
        <v>0</v>
      </c>
      <c r="O19" s="111">
        <f t="shared" si="12"/>
        <v>0</v>
      </c>
      <c r="P19" s="111">
        <f t="shared" si="12"/>
        <v>0</v>
      </c>
      <c r="Q19" s="111">
        <f t="shared" si="12"/>
        <v>0</v>
      </c>
      <c r="R19" s="111">
        <f t="shared" si="12"/>
        <v>0</v>
      </c>
      <c r="S19" s="111">
        <f t="shared" si="12"/>
        <v>0</v>
      </c>
      <c r="T19" s="111">
        <f t="shared" si="12"/>
        <v>0</v>
      </c>
      <c r="U19" s="111">
        <f t="shared" si="12"/>
        <v>0</v>
      </c>
      <c r="V19" s="111">
        <f t="shared" si="12"/>
        <v>0</v>
      </c>
      <c r="W19" s="111">
        <f t="shared" si="12"/>
        <v>0</v>
      </c>
      <c r="X19" s="111">
        <f t="shared" si="12"/>
        <v>0</v>
      </c>
      <c r="Y19" s="111">
        <f t="shared" si="12"/>
        <v>0</v>
      </c>
      <c r="Z19" s="111">
        <f t="shared" si="12"/>
        <v>0</v>
      </c>
      <c r="AA19" s="111">
        <f t="shared" si="12"/>
        <v>0</v>
      </c>
      <c r="AB19" s="111">
        <f t="shared" si="12"/>
        <v>0</v>
      </c>
      <c r="AC19" s="111">
        <f t="shared" si="12"/>
        <v>0</v>
      </c>
      <c r="AD19" s="111">
        <f t="shared" si="12"/>
        <v>114285.71428571429</v>
      </c>
      <c r="AE19" s="111">
        <f t="shared" si="12"/>
        <v>0</v>
      </c>
      <c r="AF19" s="111">
        <f t="shared" si="12"/>
        <v>0</v>
      </c>
      <c r="AG19" s="111">
        <f t="shared" si="12"/>
        <v>0</v>
      </c>
      <c r="AH19" s="111">
        <f t="shared" si="12"/>
        <v>0</v>
      </c>
      <c r="AI19" s="111">
        <f t="shared" si="12"/>
        <v>0</v>
      </c>
      <c r="AJ19" s="111">
        <f t="shared" si="12"/>
        <v>0</v>
      </c>
      <c r="AK19" s="111">
        <f t="shared" si="12"/>
        <v>0</v>
      </c>
      <c r="AL19" s="111">
        <f t="shared" si="12"/>
        <v>0</v>
      </c>
      <c r="AM19" s="111">
        <f t="shared" si="12"/>
        <v>0</v>
      </c>
      <c r="AN19" s="111">
        <f t="shared" si="12"/>
        <v>0</v>
      </c>
      <c r="AO19" s="111">
        <f t="shared" si="12"/>
        <v>0</v>
      </c>
      <c r="AP19" s="111">
        <f t="shared" si="12"/>
        <v>0</v>
      </c>
      <c r="AQ19" s="111">
        <f t="shared" si="12"/>
        <v>0</v>
      </c>
      <c r="AR19" s="111">
        <f t="shared" si="12"/>
        <v>0</v>
      </c>
      <c r="AS19" s="111">
        <f t="shared" si="12"/>
        <v>0</v>
      </c>
      <c r="AT19" s="111">
        <f t="shared" si="12"/>
        <v>0</v>
      </c>
      <c r="AU19" s="111">
        <f t="shared" si="12"/>
        <v>0</v>
      </c>
      <c r="AV19" s="111">
        <f t="shared" si="12"/>
        <v>0</v>
      </c>
      <c r="AW19" s="111">
        <f t="shared" si="12"/>
        <v>0</v>
      </c>
      <c r="AX19" s="111">
        <f t="shared" si="12"/>
        <v>0</v>
      </c>
      <c r="AY19" s="111">
        <f t="shared" si="12"/>
        <v>0</v>
      </c>
      <c r="AZ19" s="111">
        <f t="shared" si="12"/>
        <v>0</v>
      </c>
      <c r="BA19" s="111">
        <f t="shared" si="12"/>
        <v>0</v>
      </c>
      <c r="BB19" s="111">
        <f t="shared" si="12"/>
        <v>0</v>
      </c>
      <c r="BC19" s="111">
        <f t="shared" si="12"/>
        <v>0</v>
      </c>
      <c r="BD19" s="111">
        <f t="shared" si="12"/>
        <v>0</v>
      </c>
      <c r="BE19" s="111">
        <f t="shared" si="12"/>
        <v>0</v>
      </c>
      <c r="BF19" s="111">
        <f t="shared" si="12"/>
        <v>0</v>
      </c>
      <c r="BG19" s="111">
        <f t="shared" si="12"/>
        <v>0</v>
      </c>
      <c r="BH19" s="111">
        <f t="shared" si="12"/>
        <v>0</v>
      </c>
      <c r="BI19" s="111">
        <f t="shared" si="12"/>
        <v>0</v>
      </c>
      <c r="BJ19" s="111">
        <f t="shared" si="12"/>
        <v>0</v>
      </c>
      <c r="BK19" s="111">
        <f t="shared" si="12"/>
        <v>0</v>
      </c>
      <c r="BL19" s="111">
        <f t="shared" si="12"/>
        <v>0</v>
      </c>
      <c r="BM19" s="111">
        <f t="shared" si="12"/>
        <v>0</v>
      </c>
      <c r="BN19" s="111">
        <f t="shared" si="12"/>
        <v>0</v>
      </c>
      <c r="BO19" s="111">
        <f t="shared" si="12"/>
        <v>0</v>
      </c>
      <c r="BP19" s="111">
        <f t="shared" si="12"/>
        <v>0</v>
      </c>
      <c r="BQ19" s="111">
        <f t="shared" si="12"/>
        <v>0</v>
      </c>
      <c r="BR19" s="111">
        <f t="shared" si="12"/>
        <v>0</v>
      </c>
      <c r="BS19" s="111">
        <f t="shared" si="12"/>
        <v>0</v>
      </c>
      <c r="BT19" s="111">
        <f t="shared" si="12"/>
        <v>0</v>
      </c>
      <c r="BU19" s="111">
        <f t="shared" si="12"/>
        <v>0</v>
      </c>
    </row>
    <row r="20" spans="2:73">
      <c r="B20" s="108" t="s">
        <v>56</v>
      </c>
      <c r="F20" s="92">
        <f t="shared" si="13"/>
        <v>18</v>
      </c>
      <c r="G20" s="92">
        <f t="shared" si="14"/>
        <v>18</v>
      </c>
      <c r="H20" s="116"/>
      <c r="I20" s="25"/>
      <c r="J20" s="24">
        <f t="shared" si="9"/>
        <v>1.4285714285714286</v>
      </c>
      <c r="K20" s="114">
        <f t="shared" si="11"/>
        <v>114285.71428571429</v>
      </c>
      <c r="L20" s="140" t="str">
        <f t="shared" si="4"/>
        <v>OK</v>
      </c>
      <c r="M20" s="111">
        <f t="shared" si="6"/>
        <v>0</v>
      </c>
      <c r="N20" s="111">
        <f t="shared" si="12"/>
        <v>0</v>
      </c>
      <c r="O20" s="111">
        <f t="shared" si="12"/>
        <v>0</v>
      </c>
      <c r="P20" s="111">
        <f t="shared" si="12"/>
        <v>0</v>
      </c>
      <c r="Q20" s="111">
        <f t="shared" si="12"/>
        <v>0</v>
      </c>
      <c r="R20" s="111">
        <f t="shared" si="12"/>
        <v>0</v>
      </c>
      <c r="S20" s="111">
        <f t="shared" si="12"/>
        <v>0</v>
      </c>
      <c r="T20" s="111">
        <f t="shared" si="12"/>
        <v>0</v>
      </c>
      <c r="U20" s="111">
        <f t="shared" si="12"/>
        <v>0</v>
      </c>
      <c r="V20" s="111">
        <f t="shared" si="12"/>
        <v>0</v>
      </c>
      <c r="W20" s="111">
        <f t="shared" si="12"/>
        <v>0</v>
      </c>
      <c r="X20" s="111">
        <f t="shared" si="12"/>
        <v>0</v>
      </c>
      <c r="Y20" s="111">
        <f t="shared" si="12"/>
        <v>0</v>
      </c>
      <c r="Z20" s="111">
        <f t="shared" si="12"/>
        <v>0</v>
      </c>
      <c r="AA20" s="111">
        <f t="shared" si="12"/>
        <v>0</v>
      </c>
      <c r="AB20" s="111">
        <f t="shared" si="12"/>
        <v>0</v>
      </c>
      <c r="AC20" s="111">
        <f t="shared" si="12"/>
        <v>0</v>
      </c>
      <c r="AD20" s="111">
        <f t="shared" si="12"/>
        <v>0</v>
      </c>
      <c r="AE20" s="111">
        <f t="shared" si="12"/>
        <v>114285.71428571429</v>
      </c>
      <c r="AF20" s="111">
        <f t="shared" si="12"/>
        <v>0</v>
      </c>
      <c r="AG20" s="111">
        <f t="shared" si="12"/>
        <v>0</v>
      </c>
      <c r="AH20" s="111">
        <f t="shared" si="12"/>
        <v>0</v>
      </c>
      <c r="AI20" s="111">
        <f t="shared" si="12"/>
        <v>0</v>
      </c>
      <c r="AJ20" s="111">
        <f t="shared" si="12"/>
        <v>0</v>
      </c>
      <c r="AK20" s="111">
        <f t="shared" si="12"/>
        <v>0</v>
      </c>
      <c r="AL20" s="111">
        <f t="shared" si="12"/>
        <v>0</v>
      </c>
      <c r="AM20" s="111">
        <f t="shared" si="12"/>
        <v>0</v>
      </c>
      <c r="AN20" s="111">
        <f t="shared" si="12"/>
        <v>0</v>
      </c>
      <c r="AO20" s="111">
        <f t="shared" si="12"/>
        <v>0</v>
      </c>
      <c r="AP20" s="111">
        <f t="shared" si="12"/>
        <v>0</v>
      </c>
      <c r="AQ20" s="111">
        <f t="shared" si="12"/>
        <v>0</v>
      </c>
      <c r="AR20" s="111">
        <f t="shared" si="12"/>
        <v>0</v>
      </c>
      <c r="AS20" s="111">
        <f t="shared" si="12"/>
        <v>0</v>
      </c>
      <c r="AT20" s="111">
        <f t="shared" si="12"/>
        <v>0</v>
      </c>
      <c r="AU20" s="111">
        <f t="shared" si="12"/>
        <v>0</v>
      </c>
      <c r="AV20" s="111">
        <f t="shared" si="12"/>
        <v>0</v>
      </c>
      <c r="AW20" s="111">
        <f t="shared" si="12"/>
        <v>0</v>
      </c>
      <c r="AX20" s="111">
        <f t="shared" si="12"/>
        <v>0</v>
      </c>
      <c r="AY20" s="111">
        <f t="shared" si="12"/>
        <v>0</v>
      </c>
      <c r="AZ20" s="111">
        <f t="shared" si="12"/>
        <v>0</v>
      </c>
      <c r="BA20" s="111">
        <f t="shared" si="12"/>
        <v>0</v>
      </c>
      <c r="BB20" s="111">
        <f t="shared" si="12"/>
        <v>0</v>
      </c>
      <c r="BC20" s="111">
        <f t="shared" si="12"/>
        <v>0</v>
      </c>
      <c r="BD20" s="111">
        <f t="shared" si="12"/>
        <v>0</v>
      </c>
      <c r="BE20" s="111">
        <f t="shared" si="12"/>
        <v>0</v>
      </c>
      <c r="BF20" s="111">
        <f t="shared" si="12"/>
        <v>0</v>
      </c>
      <c r="BG20" s="111">
        <f t="shared" si="12"/>
        <v>0</v>
      </c>
      <c r="BH20" s="111">
        <f t="shared" si="12"/>
        <v>0</v>
      </c>
      <c r="BI20" s="111">
        <f t="shared" si="12"/>
        <v>0</v>
      </c>
      <c r="BJ20" s="111">
        <f t="shared" si="12"/>
        <v>0</v>
      </c>
      <c r="BK20" s="111">
        <f t="shared" si="12"/>
        <v>0</v>
      </c>
      <c r="BL20" s="111">
        <f t="shared" si="12"/>
        <v>0</v>
      </c>
      <c r="BM20" s="111">
        <f t="shared" si="12"/>
        <v>0</v>
      </c>
      <c r="BN20" s="111">
        <f t="shared" si="12"/>
        <v>0</v>
      </c>
      <c r="BO20" s="111">
        <f t="shared" si="12"/>
        <v>0</v>
      </c>
      <c r="BP20" s="111">
        <f t="shared" si="12"/>
        <v>0</v>
      </c>
      <c r="BQ20" s="111">
        <f t="shared" si="12"/>
        <v>0</v>
      </c>
      <c r="BR20" s="111">
        <f t="shared" si="12"/>
        <v>0</v>
      </c>
      <c r="BS20" s="111">
        <f t="shared" si="12"/>
        <v>0</v>
      </c>
      <c r="BT20" s="111">
        <f t="shared" si="12"/>
        <v>0</v>
      </c>
      <c r="BU20" s="111">
        <f t="shared" si="12"/>
        <v>0</v>
      </c>
    </row>
    <row r="21" spans="2:73">
      <c r="B21" s="108" t="s">
        <v>57</v>
      </c>
      <c r="F21" s="92">
        <f t="shared" si="13"/>
        <v>19</v>
      </c>
      <c r="G21" s="92">
        <f t="shared" si="14"/>
        <v>19</v>
      </c>
      <c r="H21" s="116"/>
      <c r="I21" s="25"/>
      <c r="J21" s="24">
        <f t="shared" si="9"/>
        <v>1.4285714285714286</v>
      </c>
      <c r="K21" s="114">
        <f t="shared" si="11"/>
        <v>114285.71428571429</v>
      </c>
      <c r="L21" s="140" t="str">
        <f t="shared" si="4"/>
        <v>OK</v>
      </c>
      <c r="M21" s="111">
        <f t="shared" si="6"/>
        <v>0</v>
      </c>
      <c r="N21" s="111">
        <f t="shared" si="12"/>
        <v>0</v>
      </c>
      <c r="O21" s="111">
        <f t="shared" si="12"/>
        <v>0</v>
      </c>
      <c r="P21" s="111">
        <f t="shared" si="12"/>
        <v>0</v>
      </c>
      <c r="Q21" s="111">
        <f t="shared" si="12"/>
        <v>0</v>
      </c>
      <c r="R21" s="111">
        <f t="shared" si="12"/>
        <v>0</v>
      </c>
      <c r="S21" s="111">
        <f t="shared" si="12"/>
        <v>0</v>
      </c>
      <c r="T21" s="111">
        <f t="shared" si="12"/>
        <v>0</v>
      </c>
      <c r="U21" s="111">
        <f t="shared" si="12"/>
        <v>0</v>
      </c>
      <c r="V21" s="111">
        <f t="shared" si="12"/>
        <v>0</v>
      </c>
      <c r="W21" s="111">
        <f t="shared" si="12"/>
        <v>0</v>
      </c>
      <c r="X21" s="111">
        <f t="shared" si="12"/>
        <v>0</v>
      </c>
      <c r="Y21" s="111">
        <f t="shared" si="12"/>
        <v>0</v>
      </c>
      <c r="Z21" s="111">
        <f t="shared" si="12"/>
        <v>0</v>
      </c>
      <c r="AA21" s="111">
        <f t="shared" si="12"/>
        <v>0</v>
      </c>
      <c r="AB21" s="111">
        <f t="shared" si="12"/>
        <v>0</v>
      </c>
      <c r="AC21" s="111">
        <f t="shared" si="12"/>
        <v>0</v>
      </c>
      <c r="AD21" s="111">
        <f t="shared" si="12"/>
        <v>0</v>
      </c>
      <c r="AE21" s="111">
        <f t="shared" si="12"/>
        <v>0</v>
      </c>
      <c r="AF21" s="111">
        <f t="shared" si="12"/>
        <v>114285.71428571429</v>
      </c>
      <c r="AG21" s="111">
        <f t="shared" si="12"/>
        <v>0</v>
      </c>
      <c r="AH21" s="111">
        <f t="shared" si="12"/>
        <v>0</v>
      </c>
      <c r="AI21" s="111">
        <f t="shared" si="12"/>
        <v>0</v>
      </c>
      <c r="AJ21" s="111">
        <f t="shared" si="12"/>
        <v>0</v>
      </c>
      <c r="AK21" s="111">
        <f t="shared" si="12"/>
        <v>0</v>
      </c>
      <c r="AL21" s="111">
        <f t="shared" si="12"/>
        <v>0</v>
      </c>
      <c r="AM21" s="111">
        <f t="shared" si="12"/>
        <v>0</v>
      </c>
      <c r="AN21" s="111">
        <f t="shared" si="12"/>
        <v>0</v>
      </c>
      <c r="AO21" s="111">
        <f t="shared" si="12"/>
        <v>0</v>
      </c>
      <c r="AP21" s="111">
        <f t="shared" si="12"/>
        <v>0</v>
      </c>
      <c r="AQ21" s="111">
        <f t="shared" si="12"/>
        <v>0</v>
      </c>
      <c r="AR21" s="111">
        <f t="shared" si="12"/>
        <v>0</v>
      </c>
      <c r="AS21" s="111">
        <f t="shared" si="12"/>
        <v>0</v>
      </c>
      <c r="AT21" s="111">
        <f t="shared" si="12"/>
        <v>0</v>
      </c>
      <c r="AU21" s="111">
        <f t="shared" si="12"/>
        <v>0</v>
      </c>
      <c r="AV21" s="111">
        <f t="shared" si="12"/>
        <v>0</v>
      </c>
      <c r="AW21" s="111">
        <f t="shared" si="12"/>
        <v>0</v>
      </c>
      <c r="AX21" s="111">
        <f t="shared" si="12"/>
        <v>0</v>
      </c>
      <c r="AY21" s="111">
        <f t="shared" si="12"/>
        <v>0</v>
      </c>
      <c r="AZ21" s="111">
        <f t="shared" si="12"/>
        <v>0</v>
      </c>
      <c r="BA21" s="111">
        <f t="shared" si="12"/>
        <v>0</v>
      </c>
      <c r="BB21" s="111">
        <f t="shared" si="12"/>
        <v>0</v>
      </c>
      <c r="BC21" s="111">
        <f t="shared" si="12"/>
        <v>0</v>
      </c>
      <c r="BD21" s="111">
        <f t="shared" si="12"/>
        <v>0</v>
      </c>
      <c r="BE21" s="111">
        <f t="shared" si="12"/>
        <v>0</v>
      </c>
      <c r="BF21" s="111">
        <f t="shared" si="12"/>
        <v>0</v>
      </c>
      <c r="BG21" s="111">
        <f t="shared" si="12"/>
        <v>0</v>
      </c>
      <c r="BH21" s="111">
        <f t="shared" si="12"/>
        <v>0</v>
      </c>
      <c r="BI21" s="111">
        <f t="shared" si="12"/>
        <v>0</v>
      </c>
      <c r="BJ21" s="111">
        <f t="shared" si="12"/>
        <v>0</v>
      </c>
      <c r="BK21" s="111">
        <f t="shared" si="12"/>
        <v>0</v>
      </c>
      <c r="BL21" s="111">
        <f t="shared" si="12"/>
        <v>0</v>
      </c>
      <c r="BM21" s="111">
        <f t="shared" si="12"/>
        <v>0</v>
      </c>
      <c r="BN21" s="111">
        <f t="shared" si="12"/>
        <v>0</v>
      </c>
      <c r="BO21" s="111">
        <f t="shared" si="12"/>
        <v>0</v>
      </c>
      <c r="BP21" s="111">
        <f t="shared" si="12"/>
        <v>0</v>
      </c>
      <c r="BQ21" s="111">
        <f t="shared" si="12"/>
        <v>0</v>
      </c>
      <c r="BR21" s="111">
        <f t="shared" si="12"/>
        <v>0</v>
      </c>
      <c r="BS21" s="111">
        <f t="shared" si="12"/>
        <v>0</v>
      </c>
      <c r="BT21" s="111">
        <f t="shared" si="12"/>
        <v>0</v>
      </c>
      <c r="BU21" s="111">
        <f t="shared" si="12"/>
        <v>0</v>
      </c>
    </row>
    <row r="22" spans="2:73">
      <c r="B22" s="108" t="s">
        <v>58</v>
      </c>
      <c r="F22" s="92">
        <f t="shared" si="13"/>
        <v>20</v>
      </c>
      <c r="G22" s="92">
        <f t="shared" si="14"/>
        <v>20</v>
      </c>
      <c r="H22" s="116"/>
      <c r="I22" s="25"/>
      <c r="J22" s="24">
        <f t="shared" si="9"/>
        <v>1.4285714285714286</v>
      </c>
      <c r="K22" s="114">
        <f t="shared" si="11"/>
        <v>114285.71428571429</v>
      </c>
      <c r="L22" s="140" t="str">
        <f t="shared" si="4"/>
        <v>OK</v>
      </c>
      <c r="M22" s="111">
        <f t="shared" si="6"/>
        <v>0</v>
      </c>
      <c r="N22" s="111">
        <f t="shared" si="12"/>
        <v>0</v>
      </c>
      <c r="O22" s="111">
        <f t="shared" si="12"/>
        <v>0</v>
      </c>
      <c r="P22" s="111">
        <f t="shared" si="12"/>
        <v>0</v>
      </c>
      <c r="Q22" s="111">
        <f t="shared" si="12"/>
        <v>0</v>
      </c>
      <c r="R22" s="111">
        <f t="shared" si="12"/>
        <v>0</v>
      </c>
      <c r="S22" s="111">
        <f t="shared" si="12"/>
        <v>0</v>
      </c>
      <c r="T22" s="111">
        <f t="shared" si="12"/>
        <v>0</v>
      </c>
      <c r="U22" s="111">
        <f t="shared" si="12"/>
        <v>0</v>
      </c>
      <c r="V22" s="111">
        <f t="shared" si="12"/>
        <v>0</v>
      </c>
      <c r="W22" s="111">
        <f t="shared" si="12"/>
        <v>0</v>
      </c>
      <c r="X22" s="111">
        <f t="shared" si="12"/>
        <v>0</v>
      </c>
      <c r="Y22" s="111">
        <f t="shared" si="12"/>
        <v>0</v>
      </c>
      <c r="Z22" s="111">
        <f t="shared" si="12"/>
        <v>0</v>
      </c>
      <c r="AA22" s="111">
        <f t="shared" si="12"/>
        <v>0</v>
      </c>
      <c r="AB22" s="111">
        <f t="shared" si="12"/>
        <v>0</v>
      </c>
      <c r="AC22" s="111">
        <f t="shared" si="12"/>
        <v>0</v>
      </c>
      <c r="AD22" s="111">
        <f t="shared" si="12"/>
        <v>0</v>
      </c>
      <c r="AE22" s="111">
        <f t="shared" si="12"/>
        <v>0</v>
      </c>
      <c r="AF22" s="111">
        <f t="shared" si="12"/>
        <v>0</v>
      </c>
      <c r="AG22" s="111">
        <f t="shared" si="12"/>
        <v>114285.71428571429</v>
      </c>
      <c r="AH22" s="111">
        <f t="shared" si="12"/>
        <v>0</v>
      </c>
      <c r="AI22" s="111">
        <f t="shared" si="12"/>
        <v>0</v>
      </c>
      <c r="AJ22" s="111">
        <f t="shared" si="12"/>
        <v>0</v>
      </c>
      <c r="AK22" s="111">
        <f t="shared" si="12"/>
        <v>0</v>
      </c>
      <c r="AL22" s="111">
        <f t="shared" si="12"/>
        <v>0</v>
      </c>
      <c r="AM22" s="111">
        <f t="shared" si="12"/>
        <v>0</v>
      </c>
      <c r="AN22" s="111">
        <f t="shared" si="12"/>
        <v>0</v>
      </c>
      <c r="AO22" s="111">
        <f t="shared" si="12"/>
        <v>0</v>
      </c>
      <c r="AP22" s="111">
        <f t="shared" si="12"/>
        <v>0</v>
      </c>
      <c r="AQ22" s="111">
        <f t="shared" si="12"/>
        <v>0</v>
      </c>
      <c r="AR22" s="111">
        <f t="shared" si="12"/>
        <v>0</v>
      </c>
      <c r="AS22" s="111">
        <f t="shared" si="12"/>
        <v>0</v>
      </c>
      <c r="AT22" s="111">
        <f t="shared" si="12"/>
        <v>0</v>
      </c>
      <c r="AU22" s="111">
        <f t="shared" si="12"/>
        <v>0</v>
      </c>
      <c r="AV22" s="111">
        <f t="shared" si="12"/>
        <v>0</v>
      </c>
      <c r="AW22" s="111">
        <f t="shared" si="12"/>
        <v>0</v>
      </c>
      <c r="AX22" s="111">
        <f t="shared" si="12"/>
        <v>0</v>
      </c>
      <c r="AY22" s="111">
        <f t="shared" si="12"/>
        <v>0</v>
      </c>
      <c r="AZ22" s="111">
        <f t="shared" si="12"/>
        <v>0</v>
      </c>
      <c r="BA22" s="111">
        <f t="shared" si="12"/>
        <v>0</v>
      </c>
      <c r="BB22" s="111">
        <f t="shared" si="12"/>
        <v>0</v>
      </c>
      <c r="BC22" s="111">
        <f t="shared" si="12"/>
        <v>0</v>
      </c>
      <c r="BD22" s="111">
        <f t="shared" si="12"/>
        <v>0</v>
      </c>
      <c r="BE22" s="111">
        <f t="shared" si="12"/>
        <v>0</v>
      </c>
      <c r="BF22" s="111">
        <f t="shared" si="12"/>
        <v>0</v>
      </c>
      <c r="BG22" s="111">
        <f t="shared" ref="N22:BU26" si="15">AND(BG$3&gt;=$F22,BG$3&lt;=$G22)*($K22/($G22-$F22+1))</f>
        <v>0</v>
      </c>
      <c r="BH22" s="111">
        <f t="shared" si="15"/>
        <v>0</v>
      </c>
      <c r="BI22" s="111">
        <f t="shared" si="15"/>
        <v>0</v>
      </c>
      <c r="BJ22" s="111">
        <f t="shared" si="15"/>
        <v>0</v>
      </c>
      <c r="BK22" s="111">
        <f t="shared" si="15"/>
        <v>0</v>
      </c>
      <c r="BL22" s="111">
        <f t="shared" si="15"/>
        <v>0</v>
      </c>
      <c r="BM22" s="111">
        <f t="shared" si="15"/>
        <v>0</v>
      </c>
      <c r="BN22" s="111">
        <f t="shared" si="15"/>
        <v>0</v>
      </c>
      <c r="BO22" s="111">
        <f t="shared" si="15"/>
        <v>0</v>
      </c>
      <c r="BP22" s="111">
        <f t="shared" si="15"/>
        <v>0</v>
      </c>
      <c r="BQ22" s="111">
        <f t="shared" si="15"/>
        <v>0</v>
      </c>
      <c r="BR22" s="111">
        <f t="shared" si="15"/>
        <v>0</v>
      </c>
      <c r="BS22" s="111">
        <f t="shared" si="15"/>
        <v>0</v>
      </c>
      <c r="BT22" s="111">
        <f t="shared" si="15"/>
        <v>0</v>
      </c>
      <c r="BU22" s="111">
        <f t="shared" si="15"/>
        <v>0</v>
      </c>
    </row>
    <row r="23" spans="2:73">
      <c r="B23" s="108" t="s">
        <v>59</v>
      </c>
      <c r="F23" s="92">
        <f t="shared" si="13"/>
        <v>21</v>
      </c>
      <c r="G23" s="92">
        <f t="shared" si="14"/>
        <v>21</v>
      </c>
      <c r="H23" s="116"/>
      <c r="I23" s="25"/>
      <c r="J23" s="24">
        <f t="shared" si="9"/>
        <v>1.4285714285714286</v>
      </c>
      <c r="K23" s="114">
        <f t="shared" si="11"/>
        <v>114285.71428571429</v>
      </c>
      <c r="L23" s="140" t="str">
        <f t="shared" si="4"/>
        <v>OK</v>
      </c>
      <c r="M23" s="111">
        <f t="shared" si="6"/>
        <v>0</v>
      </c>
      <c r="N23" s="111">
        <f t="shared" si="15"/>
        <v>0</v>
      </c>
      <c r="O23" s="111">
        <f t="shared" si="15"/>
        <v>0</v>
      </c>
      <c r="P23" s="111">
        <f t="shared" si="15"/>
        <v>0</v>
      </c>
      <c r="Q23" s="111">
        <f t="shared" si="15"/>
        <v>0</v>
      </c>
      <c r="R23" s="111">
        <f t="shared" si="15"/>
        <v>0</v>
      </c>
      <c r="S23" s="111">
        <f t="shared" si="15"/>
        <v>0</v>
      </c>
      <c r="T23" s="111">
        <f t="shared" si="15"/>
        <v>0</v>
      </c>
      <c r="U23" s="111">
        <f t="shared" si="15"/>
        <v>0</v>
      </c>
      <c r="V23" s="111">
        <f t="shared" si="15"/>
        <v>0</v>
      </c>
      <c r="W23" s="111">
        <f t="shared" si="15"/>
        <v>0</v>
      </c>
      <c r="X23" s="111">
        <f t="shared" si="15"/>
        <v>0</v>
      </c>
      <c r="Y23" s="111">
        <f t="shared" si="15"/>
        <v>0</v>
      </c>
      <c r="Z23" s="111">
        <f t="shared" si="15"/>
        <v>0</v>
      </c>
      <c r="AA23" s="111">
        <f t="shared" si="15"/>
        <v>0</v>
      </c>
      <c r="AB23" s="111">
        <f t="shared" si="15"/>
        <v>0</v>
      </c>
      <c r="AC23" s="111">
        <f t="shared" si="15"/>
        <v>0</v>
      </c>
      <c r="AD23" s="111">
        <f t="shared" si="15"/>
        <v>0</v>
      </c>
      <c r="AE23" s="111">
        <f t="shared" si="15"/>
        <v>0</v>
      </c>
      <c r="AF23" s="111">
        <f t="shared" si="15"/>
        <v>0</v>
      </c>
      <c r="AG23" s="111">
        <f t="shared" si="15"/>
        <v>0</v>
      </c>
      <c r="AH23" s="111">
        <f t="shared" si="15"/>
        <v>114285.71428571429</v>
      </c>
      <c r="AI23" s="111">
        <f t="shared" si="15"/>
        <v>0</v>
      </c>
      <c r="AJ23" s="111">
        <f t="shared" si="15"/>
        <v>0</v>
      </c>
      <c r="AK23" s="111">
        <f t="shared" si="15"/>
        <v>0</v>
      </c>
      <c r="AL23" s="111">
        <f t="shared" si="15"/>
        <v>0</v>
      </c>
      <c r="AM23" s="111">
        <f t="shared" si="15"/>
        <v>0</v>
      </c>
      <c r="AN23" s="111">
        <f t="shared" si="15"/>
        <v>0</v>
      </c>
      <c r="AO23" s="111">
        <f t="shared" si="15"/>
        <v>0</v>
      </c>
      <c r="AP23" s="111">
        <f t="shared" si="15"/>
        <v>0</v>
      </c>
      <c r="AQ23" s="111">
        <f t="shared" si="15"/>
        <v>0</v>
      </c>
      <c r="AR23" s="111">
        <f t="shared" si="15"/>
        <v>0</v>
      </c>
      <c r="AS23" s="111">
        <f t="shared" si="15"/>
        <v>0</v>
      </c>
      <c r="AT23" s="111">
        <f t="shared" si="15"/>
        <v>0</v>
      </c>
      <c r="AU23" s="111">
        <f t="shared" si="15"/>
        <v>0</v>
      </c>
      <c r="AV23" s="111">
        <f t="shared" si="15"/>
        <v>0</v>
      </c>
      <c r="AW23" s="111">
        <f t="shared" si="15"/>
        <v>0</v>
      </c>
      <c r="AX23" s="111">
        <f t="shared" si="15"/>
        <v>0</v>
      </c>
      <c r="AY23" s="111">
        <f t="shared" si="15"/>
        <v>0</v>
      </c>
      <c r="AZ23" s="111">
        <f t="shared" si="15"/>
        <v>0</v>
      </c>
      <c r="BA23" s="111">
        <f t="shared" si="15"/>
        <v>0</v>
      </c>
      <c r="BB23" s="111">
        <f t="shared" si="15"/>
        <v>0</v>
      </c>
      <c r="BC23" s="111">
        <f t="shared" si="15"/>
        <v>0</v>
      </c>
      <c r="BD23" s="111">
        <f t="shared" si="15"/>
        <v>0</v>
      </c>
      <c r="BE23" s="111">
        <f t="shared" si="15"/>
        <v>0</v>
      </c>
      <c r="BF23" s="111">
        <f t="shared" si="15"/>
        <v>0</v>
      </c>
      <c r="BG23" s="111">
        <f t="shared" si="15"/>
        <v>0</v>
      </c>
      <c r="BH23" s="111">
        <f t="shared" si="15"/>
        <v>0</v>
      </c>
      <c r="BI23" s="111">
        <f t="shared" si="15"/>
        <v>0</v>
      </c>
      <c r="BJ23" s="111">
        <f t="shared" si="15"/>
        <v>0</v>
      </c>
      <c r="BK23" s="111">
        <f t="shared" si="15"/>
        <v>0</v>
      </c>
      <c r="BL23" s="111">
        <f t="shared" si="15"/>
        <v>0</v>
      </c>
      <c r="BM23" s="111">
        <f t="shared" si="15"/>
        <v>0</v>
      </c>
      <c r="BN23" s="111">
        <f t="shared" si="15"/>
        <v>0</v>
      </c>
      <c r="BO23" s="111">
        <f t="shared" si="15"/>
        <v>0</v>
      </c>
      <c r="BP23" s="111">
        <f t="shared" si="15"/>
        <v>0</v>
      </c>
      <c r="BQ23" s="111">
        <f t="shared" si="15"/>
        <v>0</v>
      </c>
      <c r="BR23" s="111">
        <f t="shared" si="15"/>
        <v>0</v>
      </c>
      <c r="BS23" s="111">
        <f t="shared" si="15"/>
        <v>0</v>
      </c>
      <c r="BT23" s="111">
        <f t="shared" si="15"/>
        <v>0</v>
      </c>
      <c r="BU23" s="111">
        <f t="shared" si="15"/>
        <v>0</v>
      </c>
    </row>
    <row r="24" spans="2:73">
      <c r="B24" s="108" t="s">
        <v>60</v>
      </c>
      <c r="F24" s="92">
        <f t="shared" si="13"/>
        <v>22</v>
      </c>
      <c r="G24" s="92">
        <f t="shared" si="14"/>
        <v>22</v>
      </c>
      <c r="H24" s="116"/>
      <c r="I24" s="116" t="s">
        <v>104</v>
      </c>
      <c r="J24" s="24">
        <f t="shared" si="9"/>
        <v>1.4285714285714286</v>
      </c>
      <c r="K24" s="114">
        <f t="shared" si="11"/>
        <v>114285.71428571429</v>
      </c>
      <c r="L24" s="140" t="str">
        <f t="shared" si="4"/>
        <v>OK</v>
      </c>
      <c r="M24" s="111">
        <f t="shared" si="6"/>
        <v>0</v>
      </c>
      <c r="N24" s="111">
        <f t="shared" si="15"/>
        <v>0</v>
      </c>
      <c r="O24" s="111">
        <f t="shared" si="15"/>
        <v>0</v>
      </c>
      <c r="P24" s="111">
        <f t="shared" si="15"/>
        <v>0</v>
      </c>
      <c r="Q24" s="111">
        <f t="shared" si="15"/>
        <v>0</v>
      </c>
      <c r="R24" s="111">
        <f t="shared" si="15"/>
        <v>0</v>
      </c>
      <c r="S24" s="111">
        <f t="shared" si="15"/>
        <v>0</v>
      </c>
      <c r="T24" s="111">
        <f t="shared" si="15"/>
        <v>0</v>
      </c>
      <c r="U24" s="111">
        <f t="shared" si="15"/>
        <v>0</v>
      </c>
      <c r="V24" s="111">
        <f t="shared" si="15"/>
        <v>0</v>
      </c>
      <c r="W24" s="111">
        <f t="shared" si="15"/>
        <v>0</v>
      </c>
      <c r="X24" s="111">
        <f t="shared" si="15"/>
        <v>0</v>
      </c>
      <c r="Y24" s="111">
        <f t="shared" si="15"/>
        <v>0</v>
      </c>
      <c r="Z24" s="111">
        <f t="shared" si="15"/>
        <v>0</v>
      </c>
      <c r="AA24" s="111">
        <f t="shared" si="15"/>
        <v>0</v>
      </c>
      <c r="AB24" s="111">
        <f t="shared" si="15"/>
        <v>0</v>
      </c>
      <c r="AC24" s="111">
        <f t="shared" si="15"/>
        <v>0</v>
      </c>
      <c r="AD24" s="111">
        <f t="shared" si="15"/>
        <v>0</v>
      </c>
      <c r="AE24" s="111">
        <f t="shared" si="15"/>
        <v>0</v>
      </c>
      <c r="AF24" s="111">
        <f t="shared" si="15"/>
        <v>0</v>
      </c>
      <c r="AG24" s="111">
        <f t="shared" si="15"/>
        <v>0</v>
      </c>
      <c r="AH24" s="111">
        <f t="shared" si="15"/>
        <v>0</v>
      </c>
      <c r="AI24" s="111">
        <f t="shared" si="15"/>
        <v>114285.71428571429</v>
      </c>
      <c r="AJ24" s="111">
        <f t="shared" si="15"/>
        <v>0</v>
      </c>
      <c r="AK24" s="111">
        <f t="shared" si="15"/>
        <v>0</v>
      </c>
      <c r="AL24" s="111">
        <f t="shared" si="15"/>
        <v>0</v>
      </c>
      <c r="AM24" s="111">
        <f t="shared" si="15"/>
        <v>0</v>
      </c>
      <c r="AN24" s="111">
        <f t="shared" si="15"/>
        <v>0</v>
      </c>
      <c r="AO24" s="111">
        <f t="shared" si="15"/>
        <v>0</v>
      </c>
      <c r="AP24" s="111">
        <f t="shared" si="15"/>
        <v>0</v>
      </c>
      <c r="AQ24" s="111">
        <f t="shared" si="15"/>
        <v>0</v>
      </c>
      <c r="AR24" s="111">
        <f t="shared" si="15"/>
        <v>0</v>
      </c>
      <c r="AS24" s="111">
        <f t="shared" si="15"/>
        <v>0</v>
      </c>
      <c r="AT24" s="111">
        <f t="shared" si="15"/>
        <v>0</v>
      </c>
      <c r="AU24" s="111">
        <f t="shared" si="15"/>
        <v>0</v>
      </c>
      <c r="AV24" s="111">
        <f t="shared" si="15"/>
        <v>0</v>
      </c>
      <c r="AW24" s="111">
        <f t="shared" si="15"/>
        <v>0</v>
      </c>
      <c r="AX24" s="111">
        <f t="shared" si="15"/>
        <v>0</v>
      </c>
      <c r="AY24" s="111">
        <f t="shared" si="15"/>
        <v>0</v>
      </c>
      <c r="AZ24" s="111">
        <f t="shared" si="15"/>
        <v>0</v>
      </c>
      <c r="BA24" s="111">
        <f t="shared" si="15"/>
        <v>0</v>
      </c>
      <c r="BB24" s="111">
        <f t="shared" si="15"/>
        <v>0</v>
      </c>
      <c r="BC24" s="111">
        <f t="shared" si="15"/>
        <v>0</v>
      </c>
      <c r="BD24" s="111">
        <f t="shared" si="15"/>
        <v>0</v>
      </c>
      <c r="BE24" s="111">
        <f t="shared" si="15"/>
        <v>0</v>
      </c>
      <c r="BF24" s="111">
        <f t="shared" si="15"/>
        <v>0</v>
      </c>
      <c r="BG24" s="111">
        <f t="shared" si="15"/>
        <v>0</v>
      </c>
      <c r="BH24" s="111">
        <f t="shared" si="15"/>
        <v>0</v>
      </c>
      <c r="BI24" s="111">
        <f t="shared" si="15"/>
        <v>0</v>
      </c>
      <c r="BJ24" s="111">
        <f t="shared" si="15"/>
        <v>0</v>
      </c>
      <c r="BK24" s="111">
        <f t="shared" si="15"/>
        <v>0</v>
      </c>
      <c r="BL24" s="111">
        <f t="shared" si="15"/>
        <v>0</v>
      </c>
      <c r="BM24" s="111">
        <f t="shared" si="15"/>
        <v>0</v>
      </c>
      <c r="BN24" s="111">
        <f t="shared" si="15"/>
        <v>0</v>
      </c>
      <c r="BO24" s="111">
        <f t="shared" si="15"/>
        <v>0</v>
      </c>
      <c r="BP24" s="111">
        <f t="shared" si="15"/>
        <v>0</v>
      </c>
      <c r="BQ24" s="111">
        <f t="shared" si="15"/>
        <v>0</v>
      </c>
      <c r="BR24" s="111">
        <f t="shared" si="15"/>
        <v>0</v>
      </c>
      <c r="BS24" s="111">
        <f t="shared" si="15"/>
        <v>0</v>
      </c>
      <c r="BT24" s="111">
        <f t="shared" si="15"/>
        <v>0</v>
      </c>
      <c r="BU24" s="111">
        <f t="shared" si="15"/>
        <v>0</v>
      </c>
    </row>
    <row r="25" spans="2:73">
      <c r="B25" s="108" t="s">
        <v>49</v>
      </c>
      <c r="F25" s="92">
        <f>F18-6</f>
        <v>10</v>
      </c>
      <c r="G25" s="92">
        <f>F25</f>
        <v>10</v>
      </c>
      <c r="H25" s="141"/>
      <c r="I25" s="118">
        <v>0.05</v>
      </c>
      <c r="J25" s="24">
        <f t="shared" si="9"/>
        <v>1.0589231686898573</v>
      </c>
      <c r="K25" s="114">
        <f t="shared" ref="K25:K31" si="16">E52*H52*(((1+I52)^7-1)/I52-$G$49/12)*$I$25</f>
        <v>84713.853495188581</v>
      </c>
      <c r="L25" s="140" t="str">
        <f t="shared" si="4"/>
        <v>OK</v>
      </c>
      <c r="M25" s="111">
        <f t="shared" si="6"/>
        <v>0</v>
      </c>
      <c r="N25" s="111">
        <f t="shared" si="15"/>
        <v>0</v>
      </c>
      <c r="O25" s="111">
        <f t="shared" si="15"/>
        <v>0</v>
      </c>
      <c r="P25" s="111">
        <f t="shared" si="15"/>
        <v>0</v>
      </c>
      <c r="Q25" s="111">
        <f t="shared" si="15"/>
        <v>0</v>
      </c>
      <c r="R25" s="111">
        <f t="shared" si="15"/>
        <v>0</v>
      </c>
      <c r="S25" s="111">
        <f t="shared" si="15"/>
        <v>0</v>
      </c>
      <c r="T25" s="111">
        <f t="shared" si="15"/>
        <v>0</v>
      </c>
      <c r="U25" s="111">
        <f t="shared" si="15"/>
        <v>0</v>
      </c>
      <c r="V25" s="111">
        <f t="shared" si="15"/>
        <v>0</v>
      </c>
      <c r="W25" s="111">
        <f t="shared" si="15"/>
        <v>84713.853495188581</v>
      </c>
      <c r="X25" s="111">
        <f t="shared" si="15"/>
        <v>0</v>
      </c>
      <c r="Y25" s="111">
        <f t="shared" si="15"/>
        <v>0</v>
      </c>
      <c r="Z25" s="111">
        <f t="shared" si="15"/>
        <v>0</v>
      </c>
      <c r="AA25" s="111">
        <f t="shared" si="15"/>
        <v>0</v>
      </c>
      <c r="AB25" s="111">
        <f t="shared" si="15"/>
        <v>0</v>
      </c>
      <c r="AC25" s="111">
        <f t="shared" si="15"/>
        <v>0</v>
      </c>
      <c r="AD25" s="111">
        <f t="shared" si="15"/>
        <v>0</v>
      </c>
      <c r="AE25" s="111">
        <f t="shared" si="15"/>
        <v>0</v>
      </c>
      <c r="AF25" s="111">
        <f t="shared" si="15"/>
        <v>0</v>
      </c>
      <c r="AG25" s="111">
        <f t="shared" si="15"/>
        <v>0</v>
      </c>
      <c r="AH25" s="111">
        <f t="shared" si="15"/>
        <v>0</v>
      </c>
      <c r="AI25" s="111">
        <f t="shared" si="15"/>
        <v>0</v>
      </c>
      <c r="AJ25" s="111">
        <f t="shared" si="15"/>
        <v>0</v>
      </c>
      <c r="AK25" s="111">
        <f t="shared" si="15"/>
        <v>0</v>
      </c>
      <c r="AL25" s="111">
        <f t="shared" si="15"/>
        <v>0</v>
      </c>
      <c r="AM25" s="111">
        <f t="shared" si="15"/>
        <v>0</v>
      </c>
      <c r="AN25" s="111">
        <f t="shared" si="15"/>
        <v>0</v>
      </c>
      <c r="AO25" s="111">
        <f t="shared" si="15"/>
        <v>0</v>
      </c>
      <c r="AP25" s="111">
        <f t="shared" si="15"/>
        <v>0</v>
      </c>
      <c r="AQ25" s="111">
        <f t="shared" si="15"/>
        <v>0</v>
      </c>
      <c r="AR25" s="111">
        <f t="shared" si="15"/>
        <v>0</v>
      </c>
      <c r="AS25" s="111">
        <f t="shared" si="15"/>
        <v>0</v>
      </c>
      <c r="AT25" s="111">
        <f t="shared" si="15"/>
        <v>0</v>
      </c>
      <c r="AU25" s="111">
        <f t="shared" si="15"/>
        <v>0</v>
      </c>
      <c r="AV25" s="111">
        <f t="shared" si="15"/>
        <v>0</v>
      </c>
      <c r="AW25" s="111">
        <f t="shared" si="15"/>
        <v>0</v>
      </c>
      <c r="AX25" s="111">
        <f t="shared" si="15"/>
        <v>0</v>
      </c>
      <c r="AY25" s="111">
        <f t="shared" si="15"/>
        <v>0</v>
      </c>
      <c r="AZ25" s="111">
        <f t="shared" si="15"/>
        <v>0</v>
      </c>
      <c r="BA25" s="111">
        <f t="shared" si="15"/>
        <v>0</v>
      </c>
      <c r="BB25" s="111">
        <f t="shared" si="15"/>
        <v>0</v>
      </c>
      <c r="BC25" s="111">
        <f t="shared" si="15"/>
        <v>0</v>
      </c>
      <c r="BD25" s="111">
        <f t="shared" si="15"/>
        <v>0</v>
      </c>
      <c r="BE25" s="111">
        <f t="shared" si="15"/>
        <v>0</v>
      </c>
      <c r="BF25" s="111">
        <f t="shared" si="15"/>
        <v>0</v>
      </c>
      <c r="BG25" s="111">
        <f t="shared" si="15"/>
        <v>0</v>
      </c>
      <c r="BH25" s="111">
        <f t="shared" si="15"/>
        <v>0</v>
      </c>
      <c r="BI25" s="111">
        <f t="shared" si="15"/>
        <v>0</v>
      </c>
      <c r="BJ25" s="111">
        <f t="shared" si="15"/>
        <v>0</v>
      </c>
      <c r="BK25" s="111">
        <f t="shared" si="15"/>
        <v>0</v>
      </c>
      <c r="BL25" s="111">
        <f t="shared" si="15"/>
        <v>0</v>
      </c>
      <c r="BM25" s="111">
        <f t="shared" si="15"/>
        <v>0</v>
      </c>
      <c r="BN25" s="111">
        <f t="shared" si="15"/>
        <v>0</v>
      </c>
      <c r="BO25" s="111">
        <f t="shared" si="15"/>
        <v>0</v>
      </c>
      <c r="BP25" s="111">
        <f t="shared" si="15"/>
        <v>0</v>
      </c>
      <c r="BQ25" s="111">
        <f t="shared" si="15"/>
        <v>0</v>
      </c>
      <c r="BR25" s="111">
        <f t="shared" si="15"/>
        <v>0</v>
      </c>
      <c r="BS25" s="111">
        <f t="shared" si="15"/>
        <v>0</v>
      </c>
      <c r="BT25" s="111">
        <f t="shared" si="15"/>
        <v>0</v>
      </c>
      <c r="BU25" s="111">
        <f t="shared" si="15"/>
        <v>0</v>
      </c>
    </row>
    <row r="26" spans="2:73">
      <c r="B26" s="108" t="s">
        <v>50</v>
      </c>
      <c r="F26" s="92">
        <f t="shared" ref="F26:F31" si="17">F19-6</f>
        <v>11</v>
      </c>
      <c r="G26" s="92">
        <f t="shared" ref="G26:G31" si="18">F26</f>
        <v>11</v>
      </c>
      <c r="H26" s="141"/>
      <c r="I26" s="118"/>
      <c r="J26" s="24">
        <f t="shared" si="9"/>
        <v>1.0589231686898573</v>
      </c>
      <c r="K26" s="114">
        <f t="shared" si="16"/>
        <v>84713.853495188581</v>
      </c>
      <c r="L26" s="140" t="str">
        <f t="shared" si="4"/>
        <v>OK</v>
      </c>
      <c r="M26" s="111">
        <f t="shared" si="6"/>
        <v>0</v>
      </c>
      <c r="N26" s="111">
        <f t="shared" si="15"/>
        <v>0</v>
      </c>
      <c r="O26" s="111">
        <f t="shared" si="15"/>
        <v>0</v>
      </c>
      <c r="P26" s="111">
        <f t="shared" si="15"/>
        <v>0</v>
      </c>
      <c r="Q26" s="111">
        <f t="shared" si="15"/>
        <v>0</v>
      </c>
      <c r="R26" s="111">
        <f t="shared" si="15"/>
        <v>0</v>
      </c>
      <c r="S26" s="111">
        <f t="shared" si="15"/>
        <v>0</v>
      </c>
      <c r="T26" s="111">
        <f t="shared" si="15"/>
        <v>0</v>
      </c>
      <c r="U26" s="111">
        <f t="shared" si="15"/>
        <v>0</v>
      </c>
      <c r="V26" s="111">
        <f t="shared" si="15"/>
        <v>0</v>
      </c>
      <c r="W26" s="111">
        <f t="shared" si="15"/>
        <v>0</v>
      </c>
      <c r="X26" s="111">
        <f t="shared" si="15"/>
        <v>84713.853495188581</v>
      </c>
      <c r="Y26" s="111">
        <f t="shared" si="15"/>
        <v>0</v>
      </c>
      <c r="Z26" s="111">
        <f t="shared" si="15"/>
        <v>0</v>
      </c>
      <c r="AA26" s="111">
        <f t="shared" si="15"/>
        <v>0</v>
      </c>
      <c r="AB26" s="111">
        <f t="shared" si="15"/>
        <v>0</v>
      </c>
      <c r="AC26" s="111">
        <f t="shared" si="15"/>
        <v>0</v>
      </c>
      <c r="AD26" s="111">
        <f t="shared" si="15"/>
        <v>0</v>
      </c>
      <c r="AE26" s="111">
        <f t="shared" si="15"/>
        <v>0</v>
      </c>
      <c r="AF26" s="111">
        <f t="shared" si="15"/>
        <v>0</v>
      </c>
      <c r="AG26" s="111">
        <f t="shared" si="15"/>
        <v>0</v>
      </c>
      <c r="AH26" s="111">
        <f t="shared" si="15"/>
        <v>0</v>
      </c>
      <c r="AI26" s="111">
        <f t="shared" si="15"/>
        <v>0</v>
      </c>
      <c r="AJ26" s="111">
        <f t="shared" si="15"/>
        <v>0</v>
      </c>
      <c r="AK26" s="111">
        <f t="shared" si="15"/>
        <v>0</v>
      </c>
      <c r="AL26" s="111">
        <f t="shared" si="15"/>
        <v>0</v>
      </c>
      <c r="AM26" s="111">
        <f t="shared" si="15"/>
        <v>0</v>
      </c>
      <c r="AN26" s="111">
        <f t="shared" si="15"/>
        <v>0</v>
      </c>
      <c r="AO26" s="111">
        <f t="shared" si="15"/>
        <v>0</v>
      </c>
      <c r="AP26" s="111">
        <f t="shared" si="15"/>
        <v>0</v>
      </c>
      <c r="AQ26" s="111">
        <f t="shared" si="15"/>
        <v>0</v>
      </c>
      <c r="AR26" s="111">
        <f t="shared" si="15"/>
        <v>0</v>
      </c>
      <c r="AS26" s="111">
        <f t="shared" si="15"/>
        <v>0</v>
      </c>
      <c r="AT26" s="111">
        <f t="shared" si="15"/>
        <v>0</v>
      </c>
      <c r="AU26" s="111">
        <f t="shared" si="15"/>
        <v>0</v>
      </c>
      <c r="AV26" s="111">
        <f t="shared" si="15"/>
        <v>0</v>
      </c>
      <c r="AW26" s="111">
        <f t="shared" si="15"/>
        <v>0</v>
      </c>
      <c r="AX26" s="111">
        <f t="shared" si="15"/>
        <v>0</v>
      </c>
      <c r="AY26" s="111">
        <f t="shared" si="15"/>
        <v>0</v>
      </c>
      <c r="AZ26" s="111">
        <f t="shared" si="15"/>
        <v>0</v>
      </c>
      <c r="BA26" s="111">
        <f t="shared" si="15"/>
        <v>0</v>
      </c>
      <c r="BB26" s="111">
        <f t="shared" si="15"/>
        <v>0</v>
      </c>
      <c r="BC26" s="111">
        <f t="shared" si="15"/>
        <v>0</v>
      </c>
      <c r="BD26" s="111">
        <f t="shared" si="15"/>
        <v>0</v>
      </c>
      <c r="BE26" s="111">
        <f t="shared" si="15"/>
        <v>0</v>
      </c>
      <c r="BF26" s="111">
        <f t="shared" si="15"/>
        <v>0</v>
      </c>
      <c r="BG26" s="111">
        <f t="shared" si="15"/>
        <v>0</v>
      </c>
      <c r="BH26" s="111">
        <f t="shared" si="15"/>
        <v>0</v>
      </c>
      <c r="BI26" s="111">
        <f t="shared" si="15"/>
        <v>0</v>
      </c>
      <c r="BJ26" s="111">
        <f t="shared" si="15"/>
        <v>0</v>
      </c>
      <c r="BK26" s="111">
        <f t="shared" si="15"/>
        <v>0</v>
      </c>
      <c r="BL26" s="111">
        <f t="shared" si="15"/>
        <v>0</v>
      </c>
      <c r="BM26" s="111">
        <f t="shared" si="15"/>
        <v>0</v>
      </c>
      <c r="BN26" s="111">
        <f t="shared" si="15"/>
        <v>0</v>
      </c>
      <c r="BO26" s="111">
        <f t="shared" si="15"/>
        <v>0</v>
      </c>
      <c r="BP26" s="111">
        <f t="shared" si="15"/>
        <v>0</v>
      </c>
      <c r="BQ26" s="111">
        <f t="shared" si="15"/>
        <v>0</v>
      </c>
      <c r="BR26" s="111">
        <f t="shared" si="15"/>
        <v>0</v>
      </c>
      <c r="BS26" s="111">
        <f t="shared" si="15"/>
        <v>0</v>
      </c>
      <c r="BT26" s="111">
        <f t="shared" si="15"/>
        <v>0</v>
      </c>
      <c r="BU26" s="111">
        <f t="shared" si="15"/>
        <v>0</v>
      </c>
    </row>
    <row r="27" spans="2:73">
      <c r="B27" s="108" t="s">
        <v>61</v>
      </c>
      <c r="F27" s="92">
        <f>F20-6</f>
        <v>12</v>
      </c>
      <c r="G27" s="92">
        <f t="shared" si="18"/>
        <v>12</v>
      </c>
      <c r="H27" s="141"/>
      <c r="I27" s="118"/>
      <c r="J27" s="24">
        <f t="shared" si="9"/>
        <v>1.0589231686898573</v>
      </c>
      <c r="K27" s="114">
        <f t="shared" si="16"/>
        <v>84713.853495188581</v>
      </c>
      <c r="L27" s="140" t="str">
        <f t="shared" si="4"/>
        <v>OK</v>
      </c>
      <c r="M27" s="111">
        <f t="shared" si="6"/>
        <v>0</v>
      </c>
      <c r="N27" s="111">
        <f t="shared" ref="N27:BU31" si="19">AND(N$3&gt;=$F27,N$3&lt;=$G27)*($K27/($G27-$F27+1))</f>
        <v>0</v>
      </c>
      <c r="O27" s="111">
        <f t="shared" si="19"/>
        <v>0</v>
      </c>
      <c r="P27" s="111">
        <f t="shared" si="19"/>
        <v>0</v>
      </c>
      <c r="Q27" s="111">
        <f t="shared" si="19"/>
        <v>0</v>
      </c>
      <c r="R27" s="111">
        <f t="shared" si="19"/>
        <v>0</v>
      </c>
      <c r="S27" s="111">
        <f t="shared" si="19"/>
        <v>0</v>
      </c>
      <c r="T27" s="111">
        <f t="shared" si="19"/>
        <v>0</v>
      </c>
      <c r="U27" s="111">
        <f t="shared" si="19"/>
        <v>0</v>
      </c>
      <c r="V27" s="111">
        <f t="shared" si="19"/>
        <v>0</v>
      </c>
      <c r="W27" s="111">
        <f t="shared" si="19"/>
        <v>0</v>
      </c>
      <c r="X27" s="111">
        <f t="shared" si="19"/>
        <v>0</v>
      </c>
      <c r="Y27" s="111">
        <f t="shared" si="19"/>
        <v>84713.853495188581</v>
      </c>
      <c r="Z27" s="111">
        <f t="shared" si="19"/>
        <v>0</v>
      </c>
      <c r="AA27" s="111">
        <f t="shared" si="19"/>
        <v>0</v>
      </c>
      <c r="AB27" s="111">
        <f t="shared" si="19"/>
        <v>0</v>
      </c>
      <c r="AC27" s="111">
        <f t="shared" si="19"/>
        <v>0</v>
      </c>
      <c r="AD27" s="111">
        <f t="shared" si="19"/>
        <v>0</v>
      </c>
      <c r="AE27" s="111">
        <f t="shared" si="19"/>
        <v>0</v>
      </c>
      <c r="AF27" s="111">
        <f t="shared" si="19"/>
        <v>0</v>
      </c>
      <c r="AG27" s="111">
        <f t="shared" si="19"/>
        <v>0</v>
      </c>
      <c r="AH27" s="111">
        <f t="shared" si="19"/>
        <v>0</v>
      </c>
      <c r="AI27" s="111">
        <f t="shared" si="19"/>
        <v>0</v>
      </c>
      <c r="AJ27" s="111">
        <f t="shared" si="19"/>
        <v>0</v>
      </c>
      <c r="AK27" s="111">
        <f t="shared" si="19"/>
        <v>0</v>
      </c>
      <c r="AL27" s="111">
        <f t="shared" si="19"/>
        <v>0</v>
      </c>
      <c r="AM27" s="111">
        <f t="shared" si="19"/>
        <v>0</v>
      </c>
      <c r="AN27" s="111">
        <f t="shared" si="19"/>
        <v>0</v>
      </c>
      <c r="AO27" s="111">
        <f t="shared" si="19"/>
        <v>0</v>
      </c>
      <c r="AP27" s="111">
        <f t="shared" si="19"/>
        <v>0</v>
      </c>
      <c r="AQ27" s="111">
        <f t="shared" si="19"/>
        <v>0</v>
      </c>
      <c r="AR27" s="111">
        <f t="shared" si="19"/>
        <v>0</v>
      </c>
      <c r="AS27" s="111">
        <f t="shared" si="19"/>
        <v>0</v>
      </c>
      <c r="AT27" s="111">
        <f t="shared" si="19"/>
        <v>0</v>
      </c>
      <c r="AU27" s="111">
        <f t="shared" si="19"/>
        <v>0</v>
      </c>
      <c r="AV27" s="111">
        <f t="shared" si="19"/>
        <v>0</v>
      </c>
      <c r="AW27" s="111">
        <f t="shared" si="19"/>
        <v>0</v>
      </c>
      <c r="AX27" s="111">
        <f t="shared" si="19"/>
        <v>0</v>
      </c>
      <c r="AY27" s="111">
        <f t="shared" si="19"/>
        <v>0</v>
      </c>
      <c r="AZ27" s="111">
        <f t="shared" si="19"/>
        <v>0</v>
      </c>
      <c r="BA27" s="111">
        <f t="shared" si="19"/>
        <v>0</v>
      </c>
      <c r="BB27" s="111">
        <f t="shared" si="19"/>
        <v>0</v>
      </c>
      <c r="BC27" s="111">
        <f t="shared" si="19"/>
        <v>0</v>
      </c>
      <c r="BD27" s="111">
        <f t="shared" si="19"/>
        <v>0</v>
      </c>
      <c r="BE27" s="111">
        <f t="shared" si="19"/>
        <v>0</v>
      </c>
      <c r="BF27" s="111">
        <f t="shared" si="19"/>
        <v>0</v>
      </c>
      <c r="BG27" s="111">
        <f t="shared" si="19"/>
        <v>0</v>
      </c>
      <c r="BH27" s="111">
        <f t="shared" si="19"/>
        <v>0</v>
      </c>
      <c r="BI27" s="111">
        <f t="shared" si="19"/>
        <v>0</v>
      </c>
      <c r="BJ27" s="111">
        <f t="shared" si="19"/>
        <v>0</v>
      </c>
      <c r="BK27" s="111">
        <f t="shared" si="19"/>
        <v>0</v>
      </c>
      <c r="BL27" s="111">
        <f t="shared" si="19"/>
        <v>0</v>
      </c>
      <c r="BM27" s="111">
        <f t="shared" si="19"/>
        <v>0</v>
      </c>
      <c r="BN27" s="111">
        <f t="shared" si="19"/>
        <v>0</v>
      </c>
      <c r="BO27" s="111">
        <f t="shared" si="19"/>
        <v>0</v>
      </c>
      <c r="BP27" s="111">
        <f t="shared" si="19"/>
        <v>0</v>
      </c>
      <c r="BQ27" s="111">
        <f t="shared" si="19"/>
        <v>0</v>
      </c>
      <c r="BR27" s="111">
        <f t="shared" si="19"/>
        <v>0</v>
      </c>
      <c r="BS27" s="111">
        <f t="shared" si="19"/>
        <v>0</v>
      </c>
      <c r="BT27" s="111">
        <f t="shared" si="19"/>
        <v>0</v>
      </c>
      <c r="BU27" s="111">
        <f t="shared" si="19"/>
        <v>0</v>
      </c>
    </row>
    <row r="28" spans="2:73">
      <c r="B28" s="108" t="s">
        <v>62</v>
      </c>
      <c r="F28" s="92">
        <f>F21-6</f>
        <v>13</v>
      </c>
      <c r="G28" s="92">
        <f t="shared" si="18"/>
        <v>13</v>
      </c>
      <c r="H28" s="141"/>
      <c r="I28" s="118"/>
      <c r="J28" s="24">
        <f t="shared" si="9"/>
        <v>1.0589231686898573</v>
      </c>
      <c r="K28" s="114">
        <f t="shared" si="16"/>
        <v>84713.853495188581</v>
      </c>
      <c r="L28" s="140" t="str">
        <f t="shared" si="4"/>
        <v>OK</v>
      </c>
      <c r="M28" s="111">
        <f t="shared" si="6"/>
        <v>0</v>
      </c>
      <c r="N28" s="111">
        <f t="shared" si="19"/>
        <v>0</v>
      </c>
      <c r="O28" s="111">
        <f t="shared" si="19"/>
        <v>0</v>
      </c>
      <c r="P28" s="111">
        <f t="shared" si="19"/>
        <v>0</v>
      </c>
      <c r="Q28" s="111">
        <f t="shared" si="19"/>
        <v>0</v>
      </c>
      <c r="R28" s="111">
        <f t="shared" si="19"/>
        <v>0</v>
      </c>
      <c r="S28" s="111">
        <f t="shared" si="19"/>
        <v>0</v>
      </c>
      <c r="T28" s="111">
        <f t="shared" si="19"/>
        <v>0</v>
      </c>
      <c r="U28" s="111">
        <f t="shared" si="19"/>
        <v>0</v>
      </c>
      <c r="V28" s="111">
        <f t="shared" si="19"/>
        <v>0</v>
      </c>
      <c r="W28" s="111">
        <f t="shared" si="19"/>
        <v>0</v>
      </c>
      <c r="X28" s="111">
        <f t="shared" si="19"/>
        <v>0</v>
      </c>
      <c r="Y28" s="111">
        <f t="shared" si="19"/>
        <v>0</v>
      </c>
      <c r="Z28" s="111">
        <f t="shared" si="19"/>
        <v>84713.853495188581</v>
      </c>
      <c r="AA28" s="111">
        <f t="shared" si="19"/>
        <v>0</v>
      </c>
      <c r="AB28" s="111">
        <f t="shared" si="19"/>
        <v>0</v>
      </c>
      <c r="AC28" s="111">
        <f t="shared" si="19"/>
        <v>0</v>
      </c>
      <c r="AD28" s="111">
        <f t="shared" si="19"/>
        <v>0</v>
      </c>
      <c r="AE28" s="111">
        <f t="shared" si="19"/>
        <v>0</v>
      </c>
      <c r="AF28" s="111">
        <f t="shared" si="19"/>
        <v>0</v>
      </c>
      <c r="AG28" s="111">
        <f t="shared" si="19"/>
        <v>0</v>
      </c>
      <c r="AH28" s="111">
        <f t="shared" si="19"/>
        <v>0</v>
      </c>
      <c r="AI28" s="111">
        <f t="shared" si="19"/>
        <v>0</v>
      </c>
      <c r="AJ28" s="111">
        <f t="shared" si="19"/>
        <v>0</v>
      </c>
      <c r="AK28" s="111">
        <f t="shared" si="19"/>
        <v>0</v>
      </c>
      <c r="AL28" s="111">
        <f t="shared" si="19"/>
        <v>0</v>
      </c>
      <c r="AM28" s="111">
        <f t="shared" si="19"/>
        <v>0</v>
      </c>
      <c r="AN28" s="111">
        <f t="shared" si="19"/>
        <v>0</v>
      </c>
      <c r="AO28" s="111">
        <f t="shared" si="19"/>
        <v>0</v>
      </c>
      <c r="AP28" s="111">
        <f t="shared" si="19"/>
        <v>0</v>
      </c>
      <c r="AQ28" s="111">
        <f t="shared" si="19"/>
        <v>0</v>
      </c>
      <c r="AR28" s="111">
        <f t="shared" si="19"/>
        <v>0</v>
      </c>
      <c r="AS28" s="111">
        <f t="shared" si="19"/>
        <v>0</v>
      </c>
      <c r="AT28" s="111">
        <f t="shared" si="19"/>
        <v>0</v>
      </c>
      <c r="AU28" s="111">
        <f t="shared" si="19"/>
        <v>0</v>
      </c>
      <c r="AV28" s="111">
        <f t="shared" si="19"/>
        <v>0</v>
      </c>
      <c r="AW28" s="111">
        <f t="shared" si="19"/>
        <v>0</v>
      </c>
      <c r="AX28" s="111">
        <f t="shared" si="19"/>
        <v>0</v>
      </c>
      <c r="AY28" s="111">
        <f t="shared" si="19"/>
        <v>0</v>
      </c>
      <c r="AZ28" s="111">
        <f t="shared" si="19"/>
        <v>0</v>
      </c>
      <c r="BA28" s="111">
        <f t="shared" si="19"/>
        <v>0</v>
      </c>
      <c r="BB28" s="111">
        <f t="shared" si="19"/>
        <v>0</v>
      </c>
      <c r="BC28" s="111">
        <f t="shared" si="19"/>
        <v>0</v>
      </c>
      <c r="BD28" s="111">
        <f t="shared" si="19"/>
        <v>0</v>
      </c>
      <c r="BE28" s="111">
        <f t="shared" si="19"/>
        <v>0</v>
      </c>
      <c r="BF28" s="111">
        <f t="shared" si="19"/>
        <v>0</v>
      </c>
      <c r="BG28" s="111">
        <f t="shared" si="19"/>
        <v>0</v>
      </c>
      <c r="BH28" s="111">
        <f t="shared" si="19"/>
        <v>0</v>
      </c>
      <c r="BI28" s="111">
        <f t="shared" si="19"/>
        <v>0</v>
      </c>
      <c r="BJ28" s="111">
        <f t="shared" si="19"/>
        <v>0</v>
      </c>
      <c r="BK28" s="111">
        <f t="shared" si="19"/>
        <v>0</v>
      </c>
      <c r="BL28" s="111">
        <f t="shared" si="19"/>
        <v>0</v>
      </c>
      <c r="BM28" s="111">
        <f t="shared" si="19"/>
        <v>0</v>
      </c>
      <c r="BN28" s="111">
        <f t="shared" si="19"/>
        <v>0</v>
      </c>
      <c r="BO28" s="111">
        <f t="shared" si="19"/>
        <v>0</v>
      </c>
      <c r="BP28" s="111">
        <f t="shared" si="19"/>
        <v>0</v>
      </c>
      <c r="BQ28" s="111">
        <f t="shared" si="19"/>
        <v>0</v>
      </c>
      <c r="BR28" s="111">
        <f t="shared" si="19"/>
        <v>0</v>
      </c>
      <c r="BS28" s="111">
        <f t="shared" si="19"/>
        <v>0</v>
      </c>
      <c r="BT28" s="111">
        <f t="shared" si="19"/>
        <v>0</v>
      </c>
      <c r="BU28" s="111">
        <f t="shared" si="19"/>
        <v>0</v>
      </c>
    </row>
    <row r="29" spans="2:73">
      <c r="B29" s="108" t="s">
        <v>63</v>
      </c>
      <c r="F29" s="92">
        <f>F22-6</f>
        <v>14</v>
      </c>
      <c r="G29" s="92">
        <f t="shared" si="18"/>
        <v>14</v>
      </c>
      <c r="H29" s="141"/>
      <c r="I29" s="118"/>
      <c r="J29" s="24">
        <f t="shared" si="9"/>
        <v>1.0589231686898573</v>
      </c>
      <c r="K29" s="114">
        <f t="shared" si="16"/>
        <v>84713.853495188581</v>
      </c>
      <c r="L29" s="140" t="str">
        <f t="shared" si="4"/>
        <v>OK</v>
      </c>
      <c r="M29" s="111">
        <f t="shared" si="6"/>
        <v>0</v>
      </c>
      <c r="N29" s="111">
        <f t="shared" si="19"/>
        <v>0</v>
      </c>
      <c r="O29" s="111">
        <f t="shared" si="19"/>
        <v>0</v>
      </c>
      <c r="P29" s="111">
        <f t="shared" si="19"/>
        <v>0</v>
      </c>
      <c r="Q29" s="111">
        <f t="shared" si="19"/>
        <v>0</v>
      </c>
      <c r="R29" s="111">
        <f t="shared" si="19"/>
        <v>0</v>
      </c>
      <c r="S29" s="111">
        <f t="shared" si="19"/>
        <v>0</v>
      </c>
      <c r="T29" s="111">
        <f t="shared" si="19"/>
        <v>0</v>
      </c>
      <c r="U29" s="111">
        <f t="shared" si="19"/>
        <v>0</v>
      </c>
      <c r="V29" s="111">
        <f t="shared" si="19"/>
        <v>0</v>
      </c>
      <c r="W29" s="111">
        <f t="shared" si="19"/>
        <v>0</v>
      </c>
      <c r="X29" s="111">
        <f t="shared" si="19"/>
        <v>0</v>
      </c>
      <c r="Y29" s="111">
        <f t="shared" si="19"/>
        <v>0</v>
      </c>
      <c r="Z29" s="111">
        <f t="shared" si="19"/>
        <v>0</v>
      </c>
      <c r="AA29" s="111">
        <f t="shared" si="19"/>
        <v>84713.853495188581</v>
      </c>
      <c r="AB29" s="111">
        <f t="shared" si="19"/>
        <v>0</v>
      </c>
      <c r="AC29" s="111">
        <f t="shared" si="19"/>
        <v>0</v>
      </c>
      <c r="AD29" s="111">
        <f t="shared" si="19"/>
        <v>0</v>
      </c>
      <c r="AE29" s="111">
        <f t="shared" si="19"/>
        <v>0</v>
      </c>
      <c r="AF29" s="111">
        <f t="shared" si="19"/>
        <v>0</v>
      </c>
      <c r="AG29" s="111">
        <f t="shared" si="19"/>
        <v>0</v>
      </c>
      <c r="AH29" s="111">
        <f t="shared" si="19"/>
        <v>0</v>
      </c>
      <c r="AI29" s="111">
        <f t="shared" si="19"/>
        <v>0</v>
      </c>
      <c r="AJ29" s="111">
        <f t="shared" si="19"/>
        <v>0</v>
      </c>
      <c r="AK29" s="111">
        <f t="shared" si="19"/>
        <v>0</v>
      </c>
      <c r="AL29" s="111">
        <f t="shared" si="19"/>
        <v>0</v>
      </c>
      <c r="AM29" s="111">
        <f t="shared" si="19"/>
        <v>0</v>
      </c>
      <c r="AN29" s="111">
        <f t="shared" si="19"/>
        <v>0</v>
      </c>
      <c r="AO29" s="111">
        <f t="shared" si="19"/>
        <v>0</v>
      </c>
      <c r="AP29" s="111">
        <f t="shared" si="19"/>
        <v>0</v>
      </c>
      <c r="AQ29" s="111">
        <f t="shared" si="19"/>
        <v>0</v>
      </c>
      <c r="AR29" s="111">
        <f t="shared" si="19"/>
        <v>0</v>
      </c>
      <c r="AS29" s="111">
        <f t="shared" si="19"/>
        <v>0</v>
      </c>
      <c r="AT29" s="111">
        <f t="shared" si="19"/>
        <v>0</v>
      </c>
      <c r="AU29" s="111">
        <f t="shared" si="19"/>
        <v>0</v>
      </c>
      <c r="AV29" s="111">
        <f t="shared" si="19"/>
        <v>0</v>
      </c>
      <c r="AW29" s="111">
        <f t="shared" si="19"/>
        <v>0</v>
      </c>
      <c r="AX29" s="111">
        <f t="shared" si="19"/>
        <v>0</v>
      </c>
      <c r="AY29" s="111">
        <f t="shared" si="19"/>
        <v>0</v>
      </c>
      <c r="AZ29" s="111">
        <f t="shared" si="19"/>
        <v>0</v>
      </c>
      <c r="BA29" s="111">
        <f t="shared" si="19"/>
        <v>0</v>
      </c>
      <c r="BB29" s="111">
        <f t="shared" si="19"/>
        <v>0</v>
      </c>
      <c r="BC29" s="111">
        <f t="shared" si="19"/>
        <v>0</v>
      </c>
      <c r="BD29" s="111">
        <f t="shared" si="19"/>
        <v>0</v>
      </c>
      <c r="BE29" s="111">
        <f t="shared" si="19"/>
        <v>0</v>
      </c>
      <c r="BF29" s="111">
        <f t="shared" si="19"/>
        <v>0</v>
      </c>
      <c r="BG29" s="111">
        <f t="shared" si="19"/>
        <v>0</v>
      </c>
      <c r="BH29" s="111">
        <f t="shared" si="19"/>
        <v>0</v>
      </c>
      <c r="BI29" s="111">
        <f t="shared" si="19"/>
        <v>0</v>
      </c>
      <c r="BJ29" s="111">
        <f t="shared" si="19"/>
        <v>0</v>
      </c>
      <c r="BK29" s="111">
        <f t="shared" si="19"/>
        <v>0</v>
      </c>
      <c r="BL29" s="111">
        <f t="shared" si="19"/>
        <v>0</v>
      </c>
      <c r="BM29" s="111">
        <f t="shared" si="19"/>
        <v>0</v>
      </c>
      <c r="BN29" s="111">
        <f t="shared" si="19"/>
        <v>0</v>
      </c>
      <c r="BO29" s="111">
        <f t="shared" si="19"/>
        <v>0</v>
      </c>
      <c r="BP29" s="111">
        <f t="shared" si="19"/>
        <v>0</v>
      </c>
      <c r="BQ29" s="111">
        <f t="shared" si="19"/>
        <v>0</v>
      </c>
      <c r="BR29" s="111">
        <f t="shared" si="19"/>
        <v>0</v>
      </c>
      <c r="BS29" s="111">
        <f t="shared" si="19"/>
        <v>0</v>
      </c>
      <c r="BT29" s="111">
        <f t="shared" si="19"/>
        <v>0</v>
      </c>
      <c r="BU29" s="111">
        <f t="shared" si="19"/>
        <v>0</v>
      </c>
    </row>
    <row r="30" spans="2:73">
      <c r="B30" s="108" t="s">
        <v>64</v>
      </c>
      <c r="F30" s="92">
        <f t="shared" si="17"/>
        <v>15</v>
      </c>
      <c r="G30" s="92">
        <f t="shared" si="18"/>
        <v>15</v>
      </c>
      <c r="H30" s="141"/>
      <c r="I30" s="118"/>
      <c r="J30" s="24">
        <f t="shared" si="9"/>
        <v>1.0589231686898573</v>
      </c>
      <c r="K30" s="114">
        <f t="shared" si="16"/>
        <v>84713.853495188581</v>
      </c>
      <c r="L30" s="140" t="str">
        <f t="shared" si="4"/>
        <v>OK</v>
      </c>
      <c r="M30" s="111">
        <f t="shared" si="6"/>
        <v>0</v>
      </c>
      <c r="N30" s="111">
        <f t="shared" si="19"/>
        <v>0</v>
      </c>
      <c r="O30" s="111">
        <f t="shared" si="19"/>
        <v>0</v>
      </c>
      <c r="P30" s="111">
        <f t="shared" si="19"/>
        <v>0</v>
      </c>
      <c r="Q30" s="111">
        <f t="shared" si="19"/>
        <v>0</v>
      </c>
      <c r="R30" s="111">
        <f t="shared" si="19"/>
        <v>0</v>
      </c>
      <c r="S30" s="111">
        <f t="shared" si="19"/>
        <v>0</v>
      </c>
      <c r="T30" s="111">
        <f t="shared" si="19"/>
        <v>0</v>
      </c>
      <c r="U30" s="111">
        <f t="shared" si="19"/>
        <v>0</v>
      </c>
      <c r="V30" s="111">
        <f t="shared" si="19"/>
        <v>0</v>
      </c>
      <c r="W30" s="111">
        <f t="shared" si="19"/>
        <v>0</v>
      </c>
      <c r="X30" s="111">
        <f t="shared" si="19"/>
        <v>0</v>
      </c>
      <c r="Y30" s="111">
        <f t="shared" si="19"/>
        <v>0</v>
      </c>
      <c r="Z30" s="111">
        <f t="shared" si="19"/>
        <v>0</v>
      </c>
      <c r="AA30" s="111">
        <f t="shared" si="19"/>
        <v>0</v>
      </c>
      <c r="AB30" s="111">
        <f t="shared" si="19"/>
        <v>84713.853495188581</v>
      </c>
      <c r="AC30" s="111">
        <f t="shared" si="19"/>
        <v>0</v>
      </c>
      <c r="AD30" s="111">
        <f t="shared" si="19"/>
        <v>0</v>
      </c>
      <c r="AE30" s="111">
        <f t="shared" si="19"/>
        <v>0</v>
      </c>
      <c r="AF30" s="111">
        <f t="shared" si="19"/>
        <v>0</v>
      </c>
      <c r="AG30" s="111">
        <f t="shared" si="19"/>
        <v>0</v>
      </c>
      <c r="AH30" s="111">
        <f t="shared" si="19"/>
        <v>0</v>
      </c>
      <c r="AI30" s="111">
        <f t="shared" si="19"/>
        <v>0</v>
      </c>
      <c r="AJ30" s="111">
        <f t="shared" si="19"/>
        <v>0</v>
      </c>
      <c r="AK30" s="111">
        <f t="shared" si="19"/>
        <v>0</v>
      </c>
      <c r="AL30" s="111">
        <f t="shared" si="19"/>
        <v>0</v>
      </c>
      <c r="AM30" s="111">
        <f t="shared" si="19"/>
        <v>0</v>
      </c>
      <c r="AN30" s="111">
        <f t="shared" si="19"/>
        <v>0</v>
      </c>
      <c r="AO30" s="111">
        <f t="shared" si="19"/>
        <v>0</v>
      </c>
      <c r="AP30" s="111">
        <f t="shared" si="19"/>
        <v>0</v>
      </c>
      <c r="AQ30" s="111">
        <f t="shared" si="19"/>
        <v>0</v>
      </c>
      <c r="AR30" s="111">
        <f t="shared" si="19"/>
        <v>0</v>
      </c>
      <c r="AS30" s="111">
        <f t="shared" si="19"/>
        <v>0</v>
      </c>
      <c r="AT30" s="111">
        <f t="shared" si="19"/>
        <v>0</v>
      </c>
      <c r="AU30" s="111">
        <f t="shared" si="19"/>
        <v>0</v>
      </c>
      <c r="AV30" s="111">
        <f t="shared" si="19"/>
        <v>0</v>
      </c>
      <c r="AW30" s="111">
        <f t="shared" si="19"/>
        <v>0</v>
      </c>
      <c r="AX30" s="111">
        <f t="shared" si="19"/>
        <v>0</v>
      </c>
      <c r="AY30" s="111">
        <f t="shared" si="19"/>
        <v>0</v>
      </c>
      <c r="AZ30" s="111">
        <f t="shared" si="19"/>
        <v>0</v>
      </c>
      <c r="BA30" s="111">
        <f t="shared" si="19"/>
        <v>0</v>
      </c>
      <c r="BB30" s="111">
        <f t="shared" si="19"/>
        <v>0</v>
      </c>
      <c r="BC30" s="111">
        <f t="shared" si="19"/>
        <v>0</v>
      </c>
      <c r="BD30" s="111">
        <f t="shared" si="19"/>
        <v>0</v>
      </c>
      <c r="BE30" s="111">
        <f t="shared" si="19"/>
        <v>0</v>
      </c>
      <c r="BF30" s="111">
        <f t="shared" si="19"/>
        <v>0</v>
      </c>
      <c r="BG30" s="111">
        <f t="shared" si="19"/>
        <v>0</v>
      </c>
      <c r="BH30" s="111">
        <f t="shared" si="19"/>
        <v>0</v>
      </c>
      <c r="BI30" s="111">
        <f t="shared" si="19"/>
        <v>0</v>
      </c>
      <c r="BJ30" s="111">
        <f t="shared" si="19"/>
        <v>0</v>
      </c>
      <c r="BK30" s="111">
        <f t="shared" si="19"/>
        <v>0</v>
      </c>
      <c r="BL30" s="111">
        <f t="shared" si="19"/>
        <v>0</v>
      </c>
      <c r="BM30" s="111">
        <f t="shared" si="19"/>
        <v>0</v>
      </c>
      <c r="BN30" s="111">
        <f t="shared" si="19"/>
        <v>0</v>
      </c>
      <c r="BO30" s="111">
        <f t="shared" si="19"/>
        <v>0</v>
      </c>
      <c r="BP30" s="111">
        <f t="shared" si="19"/>
        <v>0</v>
      </c>
      <c r="BQ30" s="111">
        <f t="shared" si="19"/>
        <v>0</v>
      </c>
      <c r="BR30" s="111">
        <f t="shared" si="19"/>
        <v>0</v>
      </c>
      <c r="BS30" s="111">
        <f t="shared" si="19"/>
        <v>0</v>
      </c>
      <c r="BT30" s="111">
        <f t="shared" si="19"/>
        <v>0</v>
      </c>
      <c r="BU30" s="111">
        <f t="shared" si="19"/>
        <v>0</v>
      </c>
    </row>
    <row r="31" spans="2:73">
      <c r="B31" s="108" t="s">
        <v>65</v>
      </c>
      <c r="F31" s="92">
        <f t="shared" si="17"/>
        <v>16</v>
      </c>
      <c r="G31" s="92">
        <f t="shared" si="18"/>
        <v>16</v>
      </c>
      <c r="H31" s="141"/>
      <c r="I31" s="118"/>
      <c r="J31" s="24">
        <f t="shared" si="9"/>
        <v>1.0589231686898573</v>
      </c>
      <c r="K31" s="114">
        <f t="shared" si="16"/>
        <v>84713.853495188581</v>
      </c>
      <c r="L31" s="140" t="str">
        <f t="shared" si="4"/>
        <v>OK</v>
      </c>
      <c r="M31" s="111">
        <f t="shared" si="6"/>
        <v>0</v>
      </c>
      <c r="N31" s="111">
        <f t="shared" si="19"/>
        <v>0</v>
      </c>
      <c r="O31" s="111">
        <f t="shared" si="19"/>
        <v>0</v>
      </c>
      <c r="P31" s="111">
        <f t="shared" si="19"/>
        <v>0</v>
      </c>
      <c r="Q31" s="111">
        <f t="shared" si="19"/>
        <v>0</v>
      </c>
      <c r="R31" s="111">
        <f t="shared" si="19"/>
        <v>0</v>
      </c>
      <c r="S31" s="111">
        <f t="shared" si="19"/>
        <v>0</v>
      </c>
      <c r="T31" s="111">
        <f t="shared" si="19"/>
        <v>0</v>
      </c>
      <c r="U31" s="111">
        <f t="shared" si="19"/>
        <v>0</v>
      </c>
      <c r="V31" s="111">
        <f t="shared" si="19"/>
        <v>0</v>
      </c>
      <c r="W31" s="111">
        <f t="shared" si="19"/>
        <v>0</v>
      </c>
      <c r="X31" s="111">
        <f t="shared" si="19"/>
        <v>0</v>
      </c>
      <c r="Y31" s="111">
        <f t="shared" si="19"/>
        <v>0</v>
      </c>
      <c r="Z31" s="111">
        <f t="shared" si="19"/>
        <v>0</v>
      </c>
      <c r="AA31" s="111">
        <f t="shared" si="19"/>
        <v>0</v>
      </c>
      <c r="AB31" s="111">
        <f t="shared" si="19"/>
        <v>0</v>
      </c>
      <c r="AC31" s="111">
        <f t="shared" ref="AC31:BU31" si="20">AND(AC$3&gt;=$F31,AC$3&lt;=$G31)*($K31/($G31-$F31+1))</f>
        <v>84713.853495188581</v>
      </c>
      <c r="AD31" s="111">
        <f t="shared" si="20"/>
        <v>0</v>
      </c>
      <c r="AE31" s="111">
        <f t="shared" si="20"/>
        <v>0</v>
      </c>
      <c r="AF31" s="111">
        <f t="shared" si="20"/>
        <v>0</v>
      </c>
      <c r="AG31" s="111">
        <f t="shared" si="20"/>
        <v>0</v>
      </c>
      <c r="AH31" s="111">
        <f t="shared" si="20"/>
        <v>0</v>
      </c>
      <c r="AI31" s="111">
        <f t="shared" si="20"/>
        <v>0</v>
      </c>
      <c r="AJ31" s="111">
        <f t="shared" si="20"/>
        <v>0</v>
      </c>
      <c r="AK31" s="111">
        <f t="shared" si="20"/>
        <v>0</v>
      </c>
      <c r="AL31" s="111">
        <f t="shared" si="20"/>
        <v>0</v>
      </c>
      <c r="AM31" s="111">
        <f t="shared" si="20"/>
        <v>0</v>
      </c>
      <c r="AN31" s="111">
        <f t="shared" si="20"/>
        <v>0</v>
      </c>
      <c r="AO31" s="111">
        <f t="shared" si="20"/>
        <v>0</v>
      </c>
      <c r="AP31" s="111">
        <f t="shared" si="20"/>
        <v>0</v>
      </c>
      <c r="AQ31" s="111">
        <f t="shared" si="20"/>
        <v>0</v>
      </c>
      <c r="AR31" s="111">
        <f t="shared" si="20"/>
        <v>0</v>
      </c>
      <c r="AS31" s="111">
        <f t="shared" si="20"/>
        <v>0</v>
      </c>
      <c r="AT31" s="111">
        <f t="shared" si="20"/>
        <v>0</v>
      </c>
      <c r="AU31" s="111">
        <f t="shared" si="20"/>
        <v>0</v>
      </c>
      <c r="AV31" s="111">
        <f t="shared" si="20"/>
        <v>0</v>
      </c>
      <c r="AW31" s="111">
        <f t="shared" si="20"/>
        <v>0</v>
      </c>
      <c r="AX31" s="111">
        <f t="shared" si="20"/>
        <v>0</v>
      </c>
      <c r="AY31" s="111">
        <f t="shared" si="20"/>
        <v>0</v>
      </c>
      <c r="AZ31" s="111">
        <f t="shared" si="20"/>
        <v>0</v>
      </c>
      <c r="BA31" s="111">
        <f t="shared" si="20"/>
        <v>0</v>
      </c>
      <c r="BB31" s="111">
        <f t="shared" si="20"/>
        <v>0</v>
      </c>
      <c r="BC31" s="111">
        <f t="shared" si="20"/>
        <v>0</v>
      </c>
      <c r="BD31" s="111">
        <f t="shared" si="20"/>
        <v>0</v>
      </c>
      <c r="BE31" s="111">
        <f t="shared" si="20"/>
        <v>0</v>
      </c>
      <c r="BF31" s="111">
        <f t="shared" si="20"/>
        <v>0</v>
      </c>
      <c r="BG31" s="111">
        <f t="shared" si="20"/>
        <v>0</v>
      </c>
      <c r="BH31" s="111">
        <f t="shared" si="20"/>
        <v>0</v>
      </c>
      <c r="BI31" s="111">
        <f t="shared" si="20"/>
        <v>0</v>
      </c>
      <c r="BJ31" s="111">
        <f t="shared" si="20"/>
        <v>0</v>
      </c>
      <c r="BK31" s="111">
        <f t="shared" si="20"/>
        <v>0</v>
      </c>
      <c r="BL31" s="111">
        <f t="shared" si="20"/>
        <v>0</v>
      </c>
      <c r="BM31" s="111">
        <f t="shared" si="20"/>
        <v>0</v>
      </c>
      <c r="BN31" s="111">
        <f t="shared" si="20"/>
        <v>0</v>
      </c>
      <c r="BO31" s="111">
        <f t="shared" si="20"/>
        <v>0</v>
      </c>
      <c r="BP31" s="111">
        <f t="shared" si="20"/>
        <v>0</v>
      </c>
      <c r="BQ31" s="111">
        <f t="shared" si="20"/>
        <v>0</v>
      </c>
      <c r="BR31" s="111">
        <f t="shared" si="20"/>
        <v>0</v>
      </c>
      <c r="BS31" s="111">
        <f t="shared" si="20"/>
        <v>0</v>
      </c>
      <c r="BT31" s="111">
        <f t="shared" si="20"/>
        <v>0</v>
      </c>
      <c r="BU31" s="111">
        <f t="shared" si="20"/>
        <v>0</v>
      </c>
    </row>
    <row r="32" spans="2:73">
      <c r="B32" s="88" t="s">
        <v>51</v>
      </c>
      <c r="F32" s="92">
        <f>MIN(F12:F31)</f>
        <v>0</v>
      </c>
      <c r="G32" s="92">
        <f>MAX(G12:G31)</f>
        <v>22</v>
      </c>
      <c r="H32" s="90"/>
      <c r="I32" s="118"/>
      <c r="J32" s="24">
        <f t="shared" si="9"/>
        <v>241.91246218082881</v>
      </c>
      <c r="K32" s="114">
        <f>SUM(K13:K31)</f>
        <v>19352996.974466305</v>
      </c>
      <c r="L32" s="140" t="str">
        <f t="shared" si="4"/>
        <v>OK</v>
      </c>
      <c r="M32" s="115">
        <f>SUM(M13:M31)</f>
        <v>4040000</v>
      </c>
      <c r="N32" s="115">
        <f t="shared" ref="N32:BU32" si="21">SUM(N13:N31)</f>
        <v>249081.11153112334</v>
      </c>
      <c r="O32" s="115">
        <f t="shared" si="21"/>
        <v>509427.05142543738</v>
      </c>
      <c r="P32" s="115">
        <f t="shared" si="21"/>
        <v>752578.34130000928</v>
      </c>
      <c r="Q32" s="115">
        <f t="shared" si="21"/>
        <v>967908.10301798326</v>
      </c>
      <c r="R32" s="115">
        <f t="shared" si="21"/>
        <v>1146005.3927254458</v>
      </c>
      <c r="S32" s="115">
        <f t="shared" si="21"/>
        <v>1279086.5042565707</v>
      </c>
      <c r="T32" s="115">
        <f t="shared" si="21"/>
        <v>1361335.1544434205</v>
      </c>
      <c r="U32" s="115">
        <f t="shared" si="21"/>
        <v>1389156.6826000183</v>
      </c>
      <c r="V32" s="115">
        <f t="shared" si="21"/>
        <v>1361335.1544434205</v>
      </c>
      <c r="W32" s="115">
        <f t="shared" si="21"/>
        <v>1363800.3577517578</v>
      </c>
      <c r="X32" s="115">
        <f t="shared" si="21"/>
        <v>1230719.2462206343</v>
      </c>
      <c r="Y32" s="115">
        <f t="shared" si="21"/>
        <v>1052621.9565131732</v>
      </c>
      <c r="Z32" s="115">
        <f t="shared" si="21"/>
        <v>837292.1947951992</v>
      </c>
      <c r="AA32" s="115">
        <f t="shared" si="21"/>
        <v>594140.90492062527</v>
      </c>
      <c r="AB32" s="115">
        <f t="shared" si="21"/>
        <v>333794.96502631193</v>
      </c>
      <c r="AC32" s="115">
        <f t="shared" si="21"/>
        <v>198999.56778090287</v>
      </c>
      <c r="AD32" s="115">
        <f t="shared" si="21"/>
        <v>114285.71428571429</v>
      </c>
      <c r="AE32" s="115">
        <f t="shared" si="21"/>
        <v>114285.71428571429</v>
      </c>
      <c r="AF32" s="115">
        <f t="shared" si="21"/>
        <v>114285.71428571429</v>
      </c>
      <c r="AG32" s="115">
        <f t="shared" si="21"/>
        <v>114285.71428571429</v>
      </c>
      <c r="AH32" s="115">
        <f t="shared" si="21"/>
        <v>114285.71428571429</v>
      </c>
      <c r="AI32" s="115">
        <f t="shared" si="21"/>
        <v>114285.71428571429</v>
      </c>
      <c r="AJ32" s="115">
        <f t="shared" si="21"/>
        <v>0</v>
      </c>
      <c r="AK32" s="115">
        <f t="shared" si="21"/>
        <v>0</v>
      </c>
      <c r="AL32" s="115">
        <f t="shared" si="21"/>
        <v>0</v>
      </c>
      <c r="AM32" s="115">
        <f t="shared" si="21"/>
        <v>0</v>
      </c>
      <c r="AN32" s="115">
        <f t="shared" si="21"/>
        <v>0</v>
      </c>
      <c r="AO32" s="115">
        <f t="shared" si="21"/>
        <v>0</v>
      </c>
      <c r="AP32" s="115">
        <f t="shared" si="21"/>
        <v>0</v>
      </c>
      <c r="AQ32" s="115">
        <f t="shared" si="21"/>
        <v>0</v>
      </c>
      <c r="AR32" s="115">
        <f t="shared" si="21"/>
        <v>0</v>
      </c>
      <c r="AS32" s="115">
        <f t="shared" si="21"/>
        <v>0</v>
      </c>
      <c r="AT32" s="115">
        <f t="shared" si="21"/>
        <v>0</v>
      </c>
      <c r="AU32" s="115">
        <f t="shared" si="21"/>
        <v>0</v>
      </c>
      <c r="AV32" s="115">
        <f t="shared" si="21"/>
        <v>0</v>
      </c>
      <c r="AW32" s="115">
        <f t="shared" si="21"/>
        <v>0</v>
      </c>
      <c r="AX32" s="115">
        <f t="shared" si="21"/>
        <v>0</v>
      </c>
      <c r="AY32" s="115">
        <f t="shared" si="21"/>
        <v>0</v>
      </c>
      <c r="AZ32" s="115">
        <f t="shared" si="21"/>
        <v>0</v>
      </c>
      <c r="BA32" s="115">
        <f t="shared" si="21"/>
        <v>0</v>
      </c>
      <c r="BB32" s="115">
        <f t="shared" si="21"/>
        <v>0</v>
      </c>
      <c r="BC32" s="115">
        <f t="shared" si="21"/>
        <v>0</v>
      </c>
      <c r="BD32" s="115">
        <f t="shared" si="21"/>
        <v>0</v>
      </c>
      <c r="BE32" s="115">
        <f t="shared" si="21"/>
        <v>0</v>
      </c>
      <c r="BF32" s="115">
        <f t="shared" si="21"/>
        <v>0</v>
      </c>
      <c r="BG32" s="115">
        <f t="shared" si="21"/>
        <v>0</v>
      </c>
      <c r="BH32" s="115">
        <f t="shared" si="21"/>
        <v>0</v>
      </c>
      <c r="BI32" s="115">
        <f t="shared" si="21"/>
        <v>0</v>
      </c>
      <c r="BJ32" s="115">
        <f t="shared" si="21"/>
        <v>0</v>
      </c>
      <c r="BK32" s="115">
        <f t="shared" si="21"/>
        <v>0</v>
      </c>
      <c r="BL32" s="115">
        <f t="shared" si="21"/>
        <v>0</v>
      </c>
      <c r="BM32" s="115">
        <f t="shared" si="21"/>
        <v>0</v>
      </c>
      <c r="BN32" s="115">
        <f t="shared" si="21"/>
        <v>0</v>
      </c>
      <c r="BO32" s="115">
        <f t="shared" si="21"/>
        <v>0</v>
      </c>
      <c r="BP32" s="115">
        <f t="shared" si="21"/>
        <v>0</v>
      </c>
      <c r="BQ32" s="115">
        <f t="shared" si="21"/>
        <v>0</v>
      </c>
      <c r="BR32" s="115">
        <f t="shared" si="21"/>
        <v>0</v>
      </c>
      <c r="BS32" s="115">
        <f t="shared" si="21"/>
        <v>0</v>
      </c>
      <c r="BT32" s="115">
        <f t="shared" si="21"/>
        <v>0</v>
      </c>
      <c r="BU32" s="115">
        <f t="shared" si="21"/>
        <v>0</v>
      </c>
    </row>
    <row r="33" spans="2:73">
      <c r="B33" s="108" t="s">
        <v>52</v>
      </c>
      <c r="F33" s="41"/>
      <c r="G33" s="41"/>
      <c r="H33" s="116" t="s">
        <v>53</v>
      </c>
      <c r="I33" s="117"/>
      <c r="J33" s="24">
        <f t="shared" ca="1" si="9"/>
        <v>25.641707930873547</v>
      </c>
      <c r="K33" s="114">
        <f ca="1">SUM(M33:BU33)</f>
        <v>2051336.6344885146</v>
      </c>
      <c r="L33" s="140" t="str">
        <f t="shared" ca="1" si="4"/>
        <v>OK</v>
      </c>
      <c r="M33" s="111">
        <f>IF(M3&gt;$E$86," ",M44)</f>
        <v>0</v>
      </c>
      <c r="N33" s="111">
        <f t="shared" ref="N33:BU33" ca="1" si="22">IF(N3&gt;$E$86," ",N44)</f>
        <v>0</v>
      </c>
      <c r="O33" s="111">
        <f t="shared" ca="1" si="22"/>
        <v>0</v>
      </c>
      <c r="P33" s="111">
        <f t="shared" ca="1" si="22"/>
        <v>0</v>
      </c>
      <c r="Q33" s="111">
        <f t="shared" ca="1" si="22"/>
        <v>0</v>
      </c>
      <c r="R33" s="111">
        <f t="shared" ca="1" si="22"/>
        <v>0</v>
      </c>
      <c r="S33" s="111">
        <f t="shared" ca="1" si="22"/>
        <v>0</v>
      </c>
      <c r="T33" s="111">
        <f t="shared" ca="1" si="22"/>
        <v>3122.5583362444045</v>
      </c>
      <c r="U33" s="111">
        <f t="shared" ca="1" si="22"/>
        <v>12427.954280427153</v>
      </c>
      <c r="V33" s="111">
        <f t="shared" ca="1" si="22"/>
        <v>22079.702342938519</v>
      </c>
      <c r="W33" s="111">
        <f t="shared" ca="1" si="22"/>
        <v>31616.361554885854</v>
      </c>
      <c r="X33" s="111">
        <f t="shared" ca="1" si="22"/>
        <v>41194.821083526396</v>
      </c>
      <c r="Y33" s="111">
        <f t="shared" ca="1" si="22"/>
        <v>49922.447718569892</v>
      </c>
      <c r="Z33" s="111">
        <f t="shared" ca="1" si="22"/>
        <v>57486.661248701173</v>
      </c>
      <c r="AA33" s="111">
        <f t="shared" ca="1" si="22"/>
        <v>63620.464769226652</v>
      </c>
      <c r="AB33" s="111">
        <f t="shared" ca="1" si="22"/>
        <v>68138.070473008018</v>
      </c>
      <c r="AC33" s="111">
        <f t="shared" ca="1" si="22"/>
        <v>70918.922547029826</v>
      </c>
      <c r="AD33" s="111">
        <f t="shared" ca="1" si="22"/>
        <v>72782.389319661437</v>
      </c>
      <c r="AE33" s="111">
        <f t="shared" ca="1" si="22"/>
        <v>74063.534800821959</v>
      </c>
      <c r="AF33" s="111">
        <f t="shared" ca="1" si="22"/>
        <v>75359.137509240813</v>
      </c>
      <c r="AG33" s="111">
        <f t="shared" ca="1" si="22"/>
        <v>76660.752476570022</v>
      </c>
      <c r="AH33" s="111">
        <f t="shared" ca="1" si="22"/>
        <v>77957.004277301574</v>
      </c>
      <c r="AI33" s="111">
        <f t="shared" ca="1" si="22"/>
        <v>79110.144670470443</v>
      </c>
      <c r="AJ33" s="111">
        <f t="shared" ca="1" si="22"/>
        <v>80362.925089240802</v>
      </c>
      <c r="AK33" s="111">
        <f t="shared" ca="1" si="22"/>
        <v>80915.836565252146</v>
      </c>
      <c r="AL33" s="111">
        <f t="shared" ca="1" si="22"/>
        <v>81469.397887118394</v>
      </c>
      <c r="AM33" s="111">
        <f t="shared" ca="1" si="22"/>
        <v>82017.754557883542</v>
      </c>
      <c r="AN33" s="111">
        <f t="shared" ca="1" si="22"/>
        <v>82588.045103257275</v>
      </c>
      <c r="AO33" s="111">
        <f t="shared" ca="1" si="22"/>
        <v>83150.108769283397</v>
      </c>
      <c r="AP33" s="111">
        <f t="shared" ca="1" si="22"/>
        <v>83722.196573086083</v>
      </c>
      <c r="AQ33" s="111">
        <f t="shared" ca="1" si="22"/>
        <v>84291.774230751587</v>
      </c>
      <c r="AR33" s="111">
        <f t="shared" ca="1" si="22"/>
        <v>84871.922930058994</v>
      </c>
      <c r="AS33" s="111">
        <f t="shared" ca="1" si="22"/>
        <v>85452.549331294635</v>
      </c>
      <c r="AT33" s="111">
        <f t="shared" ca="1" si="22"/>
        <v>86005.292849971767</v>
      </c>
      <c r="AU33" s="111">
        <f t="shared" ca="1" si="22"/>
        <v>86184.005009034547</v>
      </c>
      <c r="AV33" s="111">
        <f t="shared" ca="1" si="22"/>
        <v>86626.035249744789</v>
      </c>
      <c r="AW33" s="111">
        <f t="shared" ca="1" si="22"/>
        <v>87217.862948875802</v>
      </c>
      <c r="AX33" s="111" t="str">
        <f t="shared" si="22"/>
        <v xml:space="preserve"> </v>
      </c>
      <c r="AY33" s="111" t="str">
        <f t="shared" si="22"/>
        <v xml:space="preserve"> </v>
      </c>
      <c r="AZ33" s="111" t="str">
        <f t="shared" si="22"/>
        <v xml:space="preserve"> </v>
      </c>
      <c r="BA33" s="111" t="str">
        <f t="shared" si="22"/>
        <v xml:space="preserve"> </v>
      </c>
      <c r="BB33" s="111" t="str">
        <f t="shared" si="22"/>
        <v xml:space="preserve"> </v>
      </c>
      <c r="BC33" s="111" t="str">
        <f t="shared" si="22"/>
        <v xml:space="preserve"> </v>
      </c>
      <c r="BD33" s="111" t="str">
        <f t="shared" si="22"/>
        <v xml:space="preserve"> </v>
      </c>
      <c r="BE33" s="111" t="str">
        <f t="shared" si="22"/>
        <v xml:space="preserve"> </v>
      </c>
      <c r="BF33" s="111" t="str">
        <f t="shared" si="22"/>
        <v xml:space="preserve"> </v>
      </c>
      <c r="BG33" s="111" t="str">
        <f t="shared" si="22"/>
        <v xml:space="preserve"> </v>
      </c>
      <c r="BH33" s="111" t="str">
        <f t="shared" si="22"/>
        <v xml:space="preserve"> </v>
      </c>
      <c r="BI33" s="111" t="str">
        <f t="shared" si="22"/>
        <v xml:space="preserve"> </v>
      </c>
      <c r="BJ33" s="111" t="str">
        <f t="shared" si="22"/>
        <v xml:space="preserve"> </v>
      </c>
      <c r="BK33" s="111" t="str">
        <f t="shared" si="22"/>
        <v xml:space="preserve"> </v>
      </c>
      <c r="BL33" s="111" t="str">
        <f t="shared" si="22"/>
        <v xml:space="preserve"> </v>
      </c>
      <c r="BM33" s="111" t="str">
        <f t="shared" si="22"/>
        <v xml:space="preserve"> </v>
      </c>
      <c r="BN33" s="111" t="str">
        <f t="shared" si="22"/>
        <v xml:space="preserve"> </v>
      </c>
      <c r="BO33" s="111" t="str">
        <f t="shared" si="22"/>
        <v xml:space="preserve"> </v>
      </c>
      <c r="BP33" s="111" t="str">
        <f t="shared" si="22"/>
        <v xml:space="preserve"> </v>
      </c>
      <c r="BQ33" s="111" t="str">
        <f t="shared" si="22"/>
        <v xml:space="preserve"> </v>
      </c>
      <c r="BR33" s="111" t="str">
        <f t="shared" si="22"/>
        <v xml:space="preserve"> </v>
      </c>
      <c r="BS33" s="111" t="str">
        <f t="shared" si="22"/>
        <v xml:space="preserve"> </v>
      </c>
      <c r="BT33" s="111" t="str">
        <f t="shared" si="22"/>
        <v xml:space="preserve"> </v>
      </c>
      <c r="BU33" s="111" t="str">
        <f t="shared" si="22"/>
        <v xml:space="preserve"> </v>
      </c>
    </row>
    <row r="34" spans="2:73" ht="17.25">
      <c r="B34" s="108" t="s">
        <v>54</v>
      </c>
      <c r="F34" s="41"/>
      <c r="G34" s="41"/>
      <c r="H34" s="118">
        <v>0.01</v>
      </c>
      <c r="I34" s="119"/>
      <c r="J34" s="24">
        <f t="shared" ca="1" si="9"/>
        <v>1.6150151113365161</v>
      </c>
      <c r="K34" s="120">
        <f ca="1">H34*K39</f>
        <v>129201.20890705867</v>
      </c>
      <c r="L34" s="140" t="str">
        <f t="shared" ca="1" si="4"/>
        <v>OK</v>
      </c>
      <c r="M34" s="115">
        <f ca="1">K34</f>
        <v>129201.20890705867</v>
      </c>
      <c r="N34" s="115">
        <v>0</v>
      </c>
      <c r="O34" s="115">
        <v>0</v>
      </c>
      <c r="P34" s="115">
        <v>0</v>
      </c>
      <c r="Q34" s="115">
        <v>0</v>
      </c>
      <c r="R34" s="115">
        <v>0</v>
      </c>
      <c r="S34" s="115">
        <v>0</v>
      </c>
      <c r="T34" s="115">
        <v>0</v>
      </c>
      <c r="U34" s="115">
        <v>0</v>
      </c>
      <c r="V34" s="115">
        <v>0</v>
      </c>
      <c r="W34" s="115">
        <v>0</v>
      </c>
      <c r="X34" s="115">
        <v>0</v>
      </c>
      <c r="Y34" s="115">
        <v>0</v>
      </c>
      <c r="Z34" s="115">
        <v>0</v>
      </c>
      <c r="AA34" s="115">
        <v>0</v>
      </c>
      <c r="AB34" s="115">
        <v>0</v>
      </c>
      <c r="AC34" s="115">
        <v>0</v>
      </c>
      <c r="AD34" s="115">
        <v>0</v>
      </c>
      <c r="AE34" s="115">
        <v>0</v>
      </c>
      <c r="AF34" s="115">
        <v>0</v>
      </c>
      <c r="AG34" s="115">
        <v>0</v>
      </c>
      <c r="AH34" s="115">
        <v>0</v>
      </c>
      <c r="AI34" s="115">
        <v>0</v>
      </c>
      <c r="AJ34" s="115">
        <v>0</v>
      </c>
      <c r="AK34" s="115">
        <v>0</v>
      </c>
      <c r="AL34" s="115">
        <v>0</v>
      </c>
      <c r="AM34" s="115">
        <v>0</v>
      </c>
      <c r="AN34" s="115">
        <v>0</v>
      </c>
      <c r="AO34" s="115">
        <v>0</v>
      </c>
      <c r="AP34" s="115">
        <v>0</v>
      </c>
      <c r="AQ34" s="115">
        <v>0</v>
      </c>
      <c r="AR34" s="115">
        <v>0</v>
      </c>
      <c r="AS34" s="115">
        <v>0</v>
      </c>
      <c r="AT34" s="115">
        <v>0</v>
      </c>
      <c r="AU34" s="115">
        <v>0</v>
      </c>
      <c r="AV34" s="115">
        <v>0</v>
      </c>
      <c r="AW34" s="115">
        <v>0</v>
      </c>
      <c r="AX34" s="115">
        <v>0</v>
      </c>
      <c r="AY34" s="115">
        <v>0</v>
      </c>
      <c r="AZ34" s="115">
        <v>0</v>
      </c>
      <c r="BA34" s="115">
        <v>0</v>
      </c>
      <c r="BB34" s="115">
        <v>0</v>
      </c>
      <c r="BC34" s="115">
        <v>0</v>
      </c>
      <c r="BD34" s="115">
        <v>0</v>
      </c>
      <c r="BE34" s="115">
        <v>0</v>
      </c>
      <c r="BF34" s="115">
        <v>0</v>
      </c>
      <c r="BG34" s="115">
        <v>0</v>
      </c>
      <c r="BH34" s="115">
        <v>0</v>
      </c>
      <c r="BI34" s="115">
        <v>0</v>
      </c>
      <c r="BJ34" s="115">
        <v>0</v>
      </c>
      <c r="BK34" s="115">
        <v>0</v>
      </c>
      <c r="BL34" s="115">
        <v>0</v>
      </c>
      <c r="BM34" s="115">
        <v>0</v>
      </c>
      <c r="BN34" s="115">
        <v>0</v>
      </c>
      <c r="BO34" s="115">
        <v>0</v>
      </c>
      <c r="BP34" s="115">
        <v>0</v>
      </c>
      <c r="BQ34" s="115">
        <v>0</v>
      </c>
      <c r="BR34" s="115">
        <v>0</v>
      </c>
      <c r="BS34" s="115">
        <v>0</v>
      </c>
      <c r="BT34" s="115">
        <v>0</v>
      </c>
      <c r="BU34" s="115">
        <v>0</v>
      </c>
    </row>
    <row r="35" spans="2:73">
      <c r="B35" s="121" t="s">
        <v>55</v>
      </c>
      <c r="F35" s="122">
        <f>MIN(F32:F34)</f>
        <v>0</v>
      </c>
      <c r="G35" s="122">
        <f>MAX(G32:G34)</f>
        <v>22</v>
      </c>
      <c r="J35" s="109">
        <f ca="1">SUM(J32:J34)</f>
        <v>269.16918522303888</v>
      </c>
      <c r="K35" s="114">
        <f ca="1">SUM(K32:K34)</f>
        <v>21533534.817861881</v>
      </c>
      <c r="L35" s="140" t="str">
        <f t="shared" ca="1" si="4"/>
        <v>OK</v>
      </c>
      <c r="M35" s="111">
        <f ca="1">SUM(M32:M34)</f>
        <v>4169201.2089070585</v>
      </c>
      <c r="N35" s="111">
        <f t="shared" ref="N35:BU35" ca="1" si="23">SUM(N32:N34)</f>
        <v>249081.11153112334</v>
      </c>
      <c r="O35" s="111">
        <f t="shared" ca="1" si="23"/>
        <v>509427.05142543738</v>
      </c>
      <c r="P35" s="111">
        <f t="shared" ca="1" si="23"/>
        <v>752578.34130000928</v>
      </c>
      <c r="Q35" s="111">
        <f t="shared" ca="1" si="23"/>
        <v>967908.10301798326</v>
      </c>
      <c r="R35" s="111">
        <f t="shared" ca="1" si="23"/>
        <v>1146005.3927254458</v>
      </c>
      <c r="S35" s="111">
        <f t="shared" ca="1" si="23"/>
        <v>1279086.5042565707</v>
      </c>
      <c r="T35" s="111">
        <f t="shared" ca="1" si="23"/>
        <v>1364457.7127796649</v>
      </c>
      <c r="U35" s="111">
        <f t="shared" ca="1" si="23"/>
        <v>1401584.6368804455</v>
      </c>
      <c r="V35" s="111">
        <f t="shared" ca="1" si="23"/>
        <v>1383414.8567863591</v>
      </c>
      <c r="W35" s="111">
        <f t="shared" ca="1" si="23"/>
        <v>1395416.7193066436</v>
      </c>
      <c r="X35" s="111">
        <f t="shared" ca="1" si="23"/>
        <v>1271914.0673041607</v>
      </c>
      <c r="Y35" s="111">
        <f t="shared" ca="1" si="23"/>
        <v>1102544.404231743</v>
      </c>
      <c r="Z35" s="111">
        <f t="shared" ca="1" si="23"/>
        <v>894778.85604390036</v>
      </c>
      <c r="AA35" s="111">
        <f t="shared" ca="1" si="23"/>
        <v>657761.36968985188</v>
      </c>
      <c r="AB35" s="111">
        <f t="shared" ca="1" si="23"/>
        <v>401933.03549931996</v>
      </c>
      <c r="AC35" s="111">
        <f t="shared" ca="1" si="23"/>
        <v>269918.4903279327</v>
      </c>
      <c r="AD35" s="111">
        <f t="shared" ca="1" si="23"/>
        <v>187068.10360537574</v>
      </c>
      <c r="AE35" s="111">
        <f t="shared" ca="1" si="23"/>
        <v>188349.24908653623</v>
      </c>
      <c r="AF35" s="111">
        <f t="shared" ca="1" si="23"/>
        <v>189644.85179495509</v>
      </c>
      <c r="AG35" s="111">
        <f t="shared" ca="1" si="23"/>
        <v>190946.46676228431</v>
      </c>
      <c r="AH35" s="111">
        <f t="shared" ca="1" si="23"/>
        <v>192242.71856301586</v>
      </c>
      <c r="AI35" s="111">
        <f t="shared" ca="1" si="23"/>
        <v>193395.85895618473</v>
      </c>
      <c r="AJ35" s="111">
        <f t="shared" ca="1" si="23"/>
        <v>80362.925089240802</v>
      </c>
      <c r="AK35" s="111">
        <f t="shared" ca="1" si="23"/>
        <v>80915.836565252146</v>
      </c>
      <c r="AL35" s="111">
        <f t="shared" ca="1" si="23"/>
        <v>81469.397887118394</v>
      </c>
      <c r="AM35" s="111">
        <f t="shared" ca="1" si="23"/>
        <v>82017.754557883542</v>
      </c>
      <c r="AN35" s="111">
        <f t="shared" ca="1" si="23"/>
        <v>82588.045103257275</v>
      </c>
      <c r="AO35" s="111">
        <f t="shared" ca="1" si="23"/>
        <v>83150.108769283397</v>
      </c>
      <c r="AP35" s="111">
        <f t="shared" ca="1" si="23"/>
        <v>83722.196573086083</v>
      </c>
      <c r="AQ35" s="111">
        <f t="shared" ca="1" si="23"/>
        <v>84291.774230751587</v>
      </c>
      <c r="AR35" s="111">
        <f t="shared" ca="1" si="23"/>
        <v>84871.922930058994</v>
      </c>
      <c r="AS35" s="111">
        <f t="shared" ca="1" si="23"/>
        <v>85452.549331294635</v>
      </c>
      <c r="AT35" s="111">
        <f t="shared" ca="1" si="23"/>
        <v>86005.292849971767</v>
      </c>
      <c r="AU35" s="111">
        <f t="shared" ca="1" si="23"/>
        <v>86184.005009034547</v>
      </c>
      <c r="AV35" s="111">
        <f t="shared" ca="1" si="23"/>
        <v>86626.035249744789</v>
      </c>
      <c r="AW35" s="111">
        <f t="shared" ca="1" si="23"/>
        <v>87217.862948875802</v>
      </c>
      <c r="AX35" s="111">
        <f t="shared" si="23"/>
        <v>0</v>
      </c>
      <c r="AY35" s="111">
        <f t="shared" si="23"/>
        <v>0</v>
      </c>
      <c r="AZ35" s="111">
        <f t="shared" si="23"/>
        <v>0</v>
      </c>
      <c r="BA35" s="111">
        <f t="shared" si="23"/>
        <v>0</v>
      </c>
      <c r="BB35" s="111">
        <f t="shared" si="23"/>
        <v>0</v>
      </c>
      <c r="BC35" s="111">
        <f t="shared" si="23"/>
        <v>0</v>
      </c>
      <c r="BD35" s="111">
        <f t="shared" si="23"/>
        <v>0</v>
      </c>
      <c r="BE35" s="111">
        <f t="shared" si="23"/>
        <v>0</v>
      </c>
      <c r="BF35" s="111">
        <f t="shared" si="23"/>
        <v>0</v>
      </c>
      <c r="BG35" s="111">
        <f t="shared" si="23"/>
        <v>0</v>
      </c>
      <c r="BH35" s="111">
        <f t="shared" si="23"/>
        <v>0</v>
      </c>
      <c r="BI35" s="111">
        <f t="shared" si="23"/>
        <v>0</v>
      </c>
      <c r="BJ35" s="111">
        <f t="shared" si="23"/>
        <v>0</v>
      </c>
      <c r="BK35" s="111">
        <f t="shared" si="23"/>
        <v>0</v>
      </c>
      <c r="BL35" s="111">
        <f t="shared" si="23"/>
        <v>0</v>
      </c>
      <c r="BM35" s="111">
        <f t="shared" si="23"/>
        <v>0</v>
      </c>
      <c r="BN35" s="111">
        <f t="shared" si="23"/>
        <v>0</v>
      </c>
      <c r="BO35" s="111">
        <f t="shared" si="23"/>
        <v>0</v>
      </c>
      <c r="BP35" s="111">
        <f t="shared" si="23"/>
        <v>0</v>
      </c>
      <c r="BQ35" s="111">
        <f t="shared" si="23"/>
        <v>0</v>
      </c>
      <c r="BR35" s="111">
        <f t="shared" si="23"/>
        <v>0</v>
      </c>
      <c r="BS35" s="111">
        <f t="shared" si="23"/>
        <v>0</v>
      </c>
      <c r="BT35" s="111">
        <f t="shared" si="23"/>
        <v>0</v>
      </c>
      <c r="BU35" s="111">
        <f t="shared" si="23"/>
        <v>0</v>
      </c>
    </row>
    <row r="36" spans="2:73">
      <c r="L36" s="140" t="str">
        <f t="shared" si="4"/>
        <v>OK</v>
      </c>
    </row>
    <row r="37" spans="2:73">
      <c r="B37" s="26" t="s">
        <v>66</v>
      </c>
      <c r="G37" s="1" t="s">
        <v>68</v>
      </c>
      <c r="J37" s="103" t="s">
        <v>45</v>
      </c>
      <c r="K37" s="104" t="s">
        <v>3</v>
      </c>
      <c r="L37" s="140"/>
    </row>
    <row r="38" spans="2:73">
      <c r="B38" s="108" t="s">
        <v>6</v>
      </c>
      <c r="G38" s="82">
        <v>0.4</v>
      </c>
      <c r="J38" s="123">
        <f ca="1">K38/K8</f>
        <v>107.66767408921558</v>
      </c>
      <c r="K38" s="124">
        <f ca="1">K35*G38</f>
        <v>8613413.9271447528</v>
      </c>
      <c r="L38" s="140" t="str">
        <f ca="1">IF(ROUND(SUM(M38:BU38)-K38,2)=0,"OK","ERR")</f>
        <v>OK</v>
      </c>
      <c r="M38" s="111">
        <f ca="1">MIN(M35,$K$38-SUM($L$38:L38))</f>
        <v>4169201.2089070585</v>
      </c>
      <c r="N38" s="111">
        <f ca="1">MIN(N35,$K$38-SUM($L$38:M38))</f>
        <v>249081.11153112334</v>
      </c>
      <c r="O38" s="111">
        <f ca="1">MIN(O35,$K$38-SUM($L$38:N38))</f>
        <v>509427.05142543738</v>
      </c>
      <c r="P38" s="111">
        <f ca="1">MIN(P35,$K$38-SUM($L$38:O38))</f>
        <v>752578.34130000928</v>
      </c>
      <c r="Q38" s="111">
        <f ca="1">MIN(Q35,$K$38-SUM($L$38:P38))</f>
        <v>967908.10301798326</v>
      </c>
      <c r="R38" s="111">
        <f ca="1">MIN(R35,$K$38-SUM($L$38:Q38))</f>
        <v>1146005.3927254458</v>
      </c>
      <c r="S38" s="111">
        <f ca="1">MIN(S35,$K$38-SUM($L$38:R38))</f>
        <v>819212.71823769435</v>
      </c>
      <c r="T38" s="111">
        <f ca="1">MIN(T35,$K$38-SUM($L$38:S38))</f>
        <v>0</v>
      </c>
      <c r="U38" s="111">
        <f ca="1">MIN(U35,$K$38-SUM($L$38:T38))</f>
        <v>0</v>
      </c>
      <c r="V38" s="111">
        <f ca="1">MIN(V35,$K$38-SUM($L$38:U38))</f>
        <v>0</v>
      </c>
      <c r="W38" s="111">
        <f ca="1">MIN(W35,$K$38-SUM($L$38:V38))</f>
        <v>0</v>
      </c>
      <c r="X38" s="111">
        <f ca="1">MIN(X35,$K$38-SUM($L$38:W38))</f>
        <v>0</v>
      </c>
      <c r="Y38" s="111">
        <f ca="1">MIN(Y35,$K$38-SUM($L$38:X38))</f>
        <v>0</v>
      </c>
      <c r="Z38" s="111">
        <f ca="1">MIN(Z35,$K$38-SUM($L$38:Y38))</f>
        <v>0</v>
      </c>
      <c r="AA38" s="111">
        <f ca="1">MIN(AA35,$K$38-SUM($L$38:Z38))</f>
        <v>0</v>
      </c>
      <c r="AB38" s="111">
        <f ca="1">MIN(AB35,$K$38-SUM($L$38:AA38))</f>
        <v>0</v>
      </c>
      <c r="AC38" s="111">
        <f ca="1">MIN(AC35,$K$38-SUM($L$38:AB38))</f>
        <v>0</v>
      </c>
      <c r="AD38" s="111">
        <f ca="1">MIN(AD35,$K$38-SUM($L$38:AC38))</f>
        <v>0</v>
      </c>
      <c r="AE38" s="111">
        <f ca="1">MIN(AE35,$K$38-SUM($L$38:AD38))</f>
        <v>0</v>
      </c>
      <c r="AF38" s="111">
        <f ca="1">MIN(AF35,$K$38-SUM($L$38:AE38))</f>
        <v>0</v>
      </c>
      <c r="AG38" s="111">
        <f ca="1">MIN(AG35,$K$38-SUM($L$38:AF38))</f>
        <v>0</v>
      </c>
      <c r="AH38" s="111">
        <f ca="1">MIN(AH35,$K$38-SUM($L$38:AG38))</f>
        <v>0</v>
      </c>
      <c r="AI38" s="111">
        <f ca="1">MIN(AI35,$K$38-SUM($L$38:AH38))</f>
        <v>0</v>
      </c>
      <c r="AJ38" s="111">
        <f ca="1">MIN(AJ35,$K$38-SUM($L$38:AI38))</f>
        <v>0</v>
      </c>
      <c r="AK38" s="111">
        <f ca="1">MIN(AK35,$K$38-SUM($L$38:AJ38))</f>
        <v>0</v>
      </c>
      <c r="AL38" s="111">
        <f ca="1">MIN(AL35,$K$38-SUM($L$38:AK38))</f>
        <v>0</v>
      </c>
      <c r="AM38" s="111">
        <f ca="1">MIN(AM35,$K$38-SUM($L$38:AL38))</f>
        <v>0</v>
      </c>
      <c r="AN38" s="111">
        <f ca="1">MIN(AN35,$K$38-SUM($L$38:AM38))</f>
        <v>0</v>
      </c>
      <c r="AO38" s="111">
        <f ca="1">MIN(AO35,$K$38-SUM($L$38:AN38))</f>
        <v>0</v>
      </c>
      <c r="AP38" s="111">
        <f ca="1">MIN(AP35,$K$38-SUM($L$38:AO38))</f>
        <v>0</v>
      </c>
      <c r="AQ38" s="111">
        <f ca="1">MIN(AQ35,$K$38-SUM($L$38:AP38))</f>
        <v>0</v>
      </c>
      <c r="AR38" s="111">
        <f ca="1">MIN(AR35,$K$38-SUM($L$38:AQ38))</f>
        <v>0</v>
      </c>
      <c r="AS38" s="111">
        <f ca="1">MIN(AS35,$K$38-SUM($L$38:AR38))</f>
        <v>0</v>
      </c>
      <c r="AT38" s="111">
        <f ca="1">MIN(AT35,$K$38-SUM($L$38:AS38))</f>
        <v>0</v>
      </c>
      <c r="AU38" s="111">
        <f ca="1">MIN(AU35,$K$38-SUM($L$38:AT38))</f>
        <v>0</v>
      </c>
      <c r="AV38" s="111">
        <f ca="1">MIN(AV35,$K$38-SUM($L$38:AU38))</f>
        <v>0</v>
      </c>
      <c r="AW38" s="111">
        <f ca="1">MIN(AW35,$K$38-SUM($L$38:AV38))</f>
        <v>0</v>
      </c>
      <c r="AX38" s="111">
        <f ca="1">MIN(AX35,$K$38-SUM($L$38:AW38))</f>
        <v>0</v>
      </c>
      <c r="AY38" s="111">
        <f ca="1">MIN(AY35,$K$38-SUM($L$38:AX38))</f>
        <v>0</v>
      </c>
      <c r="AZ38" s="111">
        <f ca="1">MIN(AZ35,$K$38-SUM($L$38:AY38))</f>
        <v>0</v>
      </c>
      <c r="BA38" s="111">
        <f ca="1">MIN(BA35,$K$38-SUM($L$38:AZ38))</f>
        <v>0</v>
      </c>
      <c r="BB38" s="111">
        <f ca="1">MIN(BB35,$K$38-SUM($L$38:BA38))</f>
        <v>0</v>
      </c>
      <c r="BC38" s="111">
        <f ca="1">MIN(BC35,$K$38-SUM($L$38:BB38))</f>
        <v>0</v>
      </c>
      <c r="BD38" s="111">
        <f ca="1">MIN(BD35,$K$38-SUM($L$38:BC38))</f>
        <v>0</v>
      </c>
      <c r="BE38" s="111">
        <f ca="1">MIN(BE35,$K$38-SUM($L$38:BD38))</f>
        <v>0</v>
      </c>
      <c r="BF38" s="111">
        <f ca="1">MIN(BF35,$K$38-SUM($L$38:BE38))</f>
        <v>0</v>
      </c>
      <c r="BG38" s="111">
        <f ca="1">MIN(BG35,$K$38-SUM($L$38:BF38))</f>
        <v>0</v>
      </c>
      <c r="BH38" s="111">
        <f ca="1">MIN(BH35,$K$38-SUM($L$38:BG38))</f>
        <v>0</v>
      </c>
      <c r="BI38" s="111">
        <f ca="1">MIN(BI35,$K$38-SUM($L$38:BH38))</f>
        <v>0</v>
      </c>
      <c r="BJ38" s="111">
        <f ca="1">MIN(BJ35,$K$38-SUM($L$38:BI38))</f>
        <v>0</v>
      </c>
      <c r="BK38" s="111">
        <f ca="1">MIN(BK35,$K$38-SUM($L$38:BJ38))</f>
        <v>0</v>
      </c>
      <c r="BL38" s="111">
        <f ca="1">MIN(BL35,$K$38-SUM($L$38:BK38))</f>
        <v>0</v>
      </c>
      <c r="BM38" s="111">
        <f ca="1">MIN(BM35,$K$38-SUM($L$38:BL38))</f>
        <v>0</v>
      </c>
      <c r="BN38" s="111">
        <f ca="1">MIN(BN35,$K$38-SUM($L$38:BM38))</f>
        <v>0</v>
      </c>
      <c r="BO38" s="111">
        <f ca="1">MIN(BO35,$K$38-SUM($L$38:BN38))</f>
        <v>0</v>
      </c>
      <c r="BP38" s="111">
        <f ca="1">MIN(BP35,$K$38-SUM($L$38:BO38))</f>
        <v>0</v>
      </c>
      <c r="BQ38" s="111">
        <f ca="1">MIN(BQ35,$K$38-SUM($L$38:BP38))</f>
        <v>0</v>
      </c>
      <c r="BR38" s="111">
        <f ca="1">MIN(BR35,$K$38-SUM($L$38:BQ38))</f>
        <v>0</v>
      </c>
      <c r="BS38" s="111">
        <f ca="1">MIN(BS35,$K$38-SUM($L$38:BR38))</f>
        <v>0</v>
      </c>
      <c r="BT38" s="111">
        <f ca="1">MIN(BT35,$K$38-SUM($L$38:BS38))</f>
        <v>0</v>
      </c>
      <c r="BU38" s="111">
        <f ca="1">MIN(BU35,$K$38-SUM($L$38:BT38))</f>
        <v>0</v>
      </c>
    </row>
    <row r="39" spans="2:73" ht="17.25">
      <c r="B39" s="108" t="s">
        <v>67</v>
      </c>
      <c r="G39" s="27">
        <f>1-G38</f>
        <v>0.6</v>
      </c>
      <c r="J39" s="123">
        <f ca="1">K39/K8</f>
        <v>161.50151113382333</v>
      </c>
      <c r="K39" s="15">
        <f ca="1">K35-K38</f>
        <v>12920120.890717128</v>
      </c>
      <c r="L39" s="140" t="str">
        <f ca="1">IF(ROUND(SUM(M39:BU39)-K39,2)=0,"OK","ERR")</f>
        <v>OK</v>
      </c>
      <c r="M39" s="115">
        <f ca="1">M35-M38</f>
        <v>0</v>
      </c>
      <c r="N39" s="115">
        <f t="shared" ref="N39:BU39" ca="1" si="24">N35-N38</f>
        <v>0</v>
      </c>
      <c r="O39" s="115">
        <f t="shared" ca="1" si="24"/>
        <v>0</v>
      </c>
      <c r="P39" s="115">
        <f t="shared" ca="1" si="24"/>
        <v>0</v>
      </c>
      <c r="Q39" s="115">
        <f t="shared" ca="1" si="24"/>
        <v>0</v>
      </c>
      <c r="R39" s="115">
        <f t="shared" ca="1" si="24"/>
        <v>0</v>
      </c>
      <c r="S39" s="115">
        <f t="shared" ca="1" si="24"/>
        <v>459873.78601887636</v>
      </c>
      <c r="T39" s="115">
        <f t="shared" ca="1" si="24"/>
        <v>1364457.7127796649</v>
      </c>
      <c r="U39" s="115">
        <f t="shared" ca="1" si="24"/>
        <v>1401584.6368804455</v>
      </c>
      <c r="V39" s="115">
        <f t="shared" ca="1" si="24"/>
        <v>1383414.8567863591</v>
      </c>
      <c r="W39" s="115">
        <f t="shared" ca="1" si="24"/>
        <v>1395416.7193066436</v>
      </c>
      <c r="X39" s="115">
        <f t="shared" ca="1" si="24"/>
        <v>1271914.0673041607</v>
      </c>
      <c r="Y39" s="115">
        <f t="shared" ca="1" si="24"/>
        <v>1102544.404231743</v>
      </c>
      <c r="Z39" s="115">
        <f t="shared" ca="1" si="24"/>
        <v>894778.85604390036</v>
      </c>
      <c r="AA39" s="115">
        <f t="shared" ca="1" si="24"/>
        <v>657761.36968985188</v>
      </c>
      <c r="AB39" s="115">
        <f t="shared" ca="1" si="24"/>
        <v>401933.03549931996</v>
      </c>
      <c r="AC39" s="115">
        <f t="shared" ca="1" si="24"/>
        <v>269918.4903279327</v>
      </c>
      <c r="AD39" s="115">
        <f t="shared" ca="1" si="24"/>
        <v>187068.10360537574</v>
      </c>
      <c r="AE39" s="115">
        <f t="shared" ca="1" si="24"/>
        <v>188349.24908653623</v>
      </c>
      <c r="AF39" s="115">
        <f t="shared" ca="1" si="24"/>
        <v>189644.85179495509</v>
      </c>
      <c r="AG39" s="115">
        <f t="shared" ca="1" si="24"/>
        <v>190946.46676228431</v>
      </c>
      <c r="AH39" s="115">
        <f t="shared" ca="1" si="24"/>
        <v>192242.71856301586</v>
      </c>
      <c r="AI39" s="115">
        <f t="shared" ca="1" si="24"/>
        <v>193395.85895618473</v>
      </c>
      <c r="AJ39" s="115">
        <f t="shared" ca="1" si="24"/>
        <v>80362.925089240802</v>
      </c>
      <c r="AK39" s="115">
        <f t="shared" ca="1" si="24"/>
        <v>80915.836565252146</v>
      </c>
      <c r="AL39" s="115">
        <f t="shared" ca="1" si="24"/>
        <v>81469.397887118394</v>
      </c>
      <c r="AM39" s="115">
        <f t="shared" ca="1" si="24"/>
        <v>82017.754557883542</v>
      </c>
      <c r="AN39" s="115">
        <f t="shared" ca="1" si="24"/>
        <v>82588.045103257275</v>
      </c>
      <c r="AO39" s="115">
        <f t="shared" ca="1" si="24"/>
        <v>83150.108769283397</v>
      </c>
      <c r="AP39" s="115">
        <f t="shared" ca="1" si="24"/>
        <v>83722.196573086083</v>
      </c>
      <c r="AQ39" s="115">
        <f t="shared" ca="1" si="24"/>
        <v>84291.774230751587</v>
      </c>
      <c r="AR39" s="115">
        <f t="shared" ca="1" si="24"/>
        <v>84871.922930058994</v>
      </c>
      <c r="AS39" s="115">
        <f t="shared" ca="1" si="24"/>
        <v>85452.549331294635</v>
      </c>
      <c r="AT39" s="115">
        <f t="shared" ca="1" si="24"/>
        <v>86005.292849971767</v>
      </c>
      <c r="AU39" s="115">
        <f t="shared" ca="1" si="24"/>
        <v>86184.005009034547</v>
      </c>
      <c r="AV39" s="115">
        <f t="shared" ca="1" si="24"/>
        <v>86626.035249744789</v>
      </c>
      <c r="AW39" s="115">
        <f t="shared" ca="1" si="24"/>
        <v>87217.862948875802</v>
      </c>
      <c r="AX39" s="115">
        <f t="shared" ca="1" si="24"/>
        <v>0</v>
      </c>
      <c r="AY39" s="115">
        <f t="shared" ca="1" si="24"/>
        <v>0</v>
      </c>
      <c r="AZ39" s="115">
        <f t="shared" ca="1" si="24"/>
        <v>0</v>
      </c>
      <c r="BA39" s="115">
        <f t="shared" ca="1" si="24"/>
        <v>0</v>
      </c>
      <c r="BB39" s="115">
        <f t="shared" ca="1" si="24"/>
        <v>0</v>
      </c>
      <c r="BC39" s="115">
        <f t="shared" ca="1" si="24"/>
        <v>0</v>
      </c>
      <c r="BD39" s="115">
        <f t="shared" ca="1" si="24"/>
        <v>0</v>
      </c>
      <c r="BE39" s="115">
        <f t="shared" ca="1" si="24"/>
        <v>0</v>
      </c>
      <c r="BF39" s="115">
        <f t="shared" ca="1" si="24"/>
        <v>0</v>
      </c>
      <c r="BG39" s="115">
        <f t="shared" ca="1" si="24"/>
        <v>0</v>
      </c>
      <c r="BH39" s="115">
        <f t="shared" ca="1" si="24"/>
        <v>0</v>
      </c>
      <c r="BI39" s="115">
        <f t="shared" ca="1" si="24"/>
        <v>0</v>
      </c>
      <c r="BJ39" s="115">
        <f t="shared" ca="1" si="24"/>
        <v>0</v>
      </c>
      <c r="BK39" s="115">
        <f t="shared" ca="1" si="24"/>
        <v>0</v>
      </c>
      <c r="BL39" s="115">
        <f t="shared" ca="1" si="24"/>
        <v>0</v>
      </c>
      <c r="BM39" s="115">
        <f t="shared" ca="1" si="24"/>
        <v>0</v>
      </c>
      <c r="BN39" s="115">
        <f t="shared" ca="1" si="24"/>
        <v>0</v>
      </c>
      <c r="BO39" s="115">
        <f t="shared" ca="1" si="24"/>
        <v>0</v>
      </c>
      <c r="BP39" s="115">
        <f t="shared" ca="1" si="24"/>
        <v>0</v>
      </c>
      <c r="BQ39" s="115">
        <f t="shared" ca="1" si="24"/>
        <v>0</v>
      </c>
      <c r="BR39" s="115">
        <f t="shared" ca="1" si="24"/>
        <v>0</v>
      </c>
      <c r="BS39" s="115">
        <f t="shared" ca="1" si="24"/>
        <v>0</v>
      </c>
      <c r="BT39" s="115">
        <f t="shared" ca="1" si="24"/>
        <v>0</v>
      </c>
      <c r="BU39" s="115">
        <f t="shared" ca="1" si="24"/>
        <v>0</v>
      </c>
    </row>
    <row r="40" spans="2:73">
      <c r="B40" s="88" t="s">
        <v>7</v>
      </c>
      <c r="K40" s="124">
        <f ca="1">SUM(K38:K39)</f>
        <v>21533534.817861881</v>
      </c>
      <c r="L40" s="140" t="str">
        <f ca="1">IF(ROUND(SUM(M40:BU40)-K40,2)=0,"OK","ERR")</f>
        <v>OK</v>
      </c>
      <c r="M40" s="111">
        <f ca="1">SUM(M38:M39)</f>
        <v>4169201.2089070585</v>
      </c>
      <c r="N40" s="111">
        <f t="shared" ref="N40:BU40" ca="1" si="25">SUM(N38:N39)</f>
        <v>249081.11153112334</v>
      </c>
      <c r="O40" s="111">
        <f t="shared" ca="1" si="25"/>
        <v>509427.05142543738</v>
      </c>
      <c r="P40" s="111">
        <f t="shared" ca="1" si="25"/>
        <v>752578.34130000928</v>
      </c>
      <c r="Q40" s="111">
        <f t="shared" ca="1" si="25"/>
        <v>967908.10301798326</v>
      </c>
      <c r="R40" s="111">
        <f t="shared" ca="1" si="25"/>
        <v>1146005.3927254458</v>
      </c>
      <c r="S40" s="111">
        <f t="shared" ca="1" si="25"/>
        <v>1279086.5042565707</v>
      </c>
      <c r="T40" s="111">
        <f t="shared" ca="1" si="25"/>
        <v>1364457.7127796649</v>
      </c>
      <c r="U40" s="111">
        <f t="shared" ca="1" si="25"/>
        <v>1401584.6368804455</v>
      </c>
      <c r="V40" s="111">
        <f t="shared" ca="1" si="25"/>
        <v>1383414.8567863591</v>
      </c>
      <c r="W40" s="111">
        <f t="shared" ca="1" si="25"/>
        <v>1395416.7193066436</v>
      </c>
      <c r="X40" s="111">
        <f t="shared" ca="1" si="25"/>
        <v>1271914.0673041607</v>
      </c>
      <c r="Y40" s="111">
        <f t="shared" ca="1" si="25"/>
        <v>1102544.404231743</v>
      </c>
      <c r="Z40" s="111">
        <f t="shared" ca="1" si="25"/>
        <v>894778.85604390036</v>
      </c>
      <c r="AA40" s="111">
        <f t="shared" ca="1" si="25"/>
        <v>657761.36968985188</v>
      </c>
      <c r="AB40" s="111">
        <f t="shared" ca="1" si="25"/>
        <v>401933.03549931996</v>
      </c>
      <c r="AC40" s="111">
        <f t="shared" ca="1" si="25"/>
        <v>269918.4903279327</v>
      </c>
      <c r="AD40" s="111">
        <f t="shared" ca="1" si="25"/>
        <v>187068.10360537574</v>
      </c>
      <c r="AE40" s="111">
        <f t="shared" ca="1" si="25"/>
        <v>188349.24908653623</v>
      </c>
      <c r="AF40" s="111">
        <f t="shared" ca="1" si="25"/>
        <v>189644.85179495509</v>
      </c>
      <c r="AG40" s="111">
        <f t="shared" ca="1" si="25"/>
        <v>190946.46676228431</v>
      </c>
      <c r="AH40" s="111">
        <f t="shared" ca="1" si="25"/>
        <v>192242.71856301586</v>
      </c>
      <c r="AI40" s="111">
        <f t="shared" ca="1" si="25"/>
        <v>193395.85895618473</v>
      </c>
      <c r="AJ40" s="111">
        <f t="shared" ca="1" si="25"/>
        <v>80362.925089240802</v>
      </c>
      <c r="AK40" s="111">
        <f t="shared" ca="1" si="25"/>
        <v>80915.836565252146</v>
      </c>
      <c r="AL40" s="111">
        <f t="shared" ca="1" si="25"/>
        <v>81469.397887118394</v>
      </c>
      <c r="AM40" s="111">
        <f t="shared" ca="1" si="25"/>
        <v>82017.754557883542</v>
      </c>
      <c r="AN40" s="111">
        <f t="shared" ca="1" si="25"/>
        <v>82588.045103257275</v>
      </c>
      <c r="AO40" s="111">
        <f t="shared" ca="1" si="25"/>
        <v>83150.108769283397</v>
      </c>
      <c r="AP40" s="111">
        <f t="shared" ca="1" si="25"/>
        <v>83722.196573086083</v>
      </c>
      <c r="AQ40" s="111">
        <f t="shared" ca="1" si="25"/>
        <v>84291.774230751587</v>
      </c>
      <c r="AR40" s="111">
        <f t="shared" ca="1" si="25"/>
        <v>84871.922930058994</v>
      </c>
      <c r="AS40" s="111">
        <f t="shared" ca="1" si="25"/>
        <v>85452.549331294635</v>
      </c>
      <c r="AT40" s="111">
        <f t="shared" ca="1" si="25"/>
        <v>86005.292849971767</v>
      </c>
      <c r="AU40" s="111">
        <f t="shared" ca="1" si="25"/>
        <v>86184.005009034547</v>
      </c>
      <c r="AV40" s="111">
        <f t="shared" ca="1" si="25"/>
        <v>86626.035249744789</v>
      </c>
      <c r="AW40" s="111">
        <f t="shared" ca="1" si="25"/>
        <v>87217.862948875802</v>
      </c>
      <c r="AX40" s="111">
        <f t="shared" ca="1" si="25"/>
        <v>0</v>
      </c>
      <c r="AY40" s="111">
        <f t="shared" ca="1" si="25"/>
        <v>0</v>
      </c>
      <c r="AZ40" s="111">
        <f t="shared" ca="1" si="25"/>
        <v>0</v>
      </c>
      <c r="BA40" s="111">
        <f t="shared" ca="1" si="25"/>
        <v>0</v>
      </c>
      <c r="BB40" s="111">
        <f t="shared" ca="1" si="25"/>
        <v>0</v>
      </c>
      <c r="BC40" s="111">
        <f t="shared" ca="1" si="25"/>
        <v>0</v>
      </c>
      <c r="BD40" s="111">
        <f t="shared" ca="1" si="25"/>
        <v>0</v>
      </c>
      <c r="BE40" s="111">
        <f t="shared" ca="1" si="25"/>
        <v>0</v>
      </c>
      <c r="BF40" s="111">
        <f t="shared" ca="1" si="25"/>
        <v>0</v>
      </c>
      <c r="BG40" s="111">
        <f t="shared" ca="1" si="25"/>
        <v>0</v>
      </c>
      <c r="BH40" s="111">
        <f t="shared" ca="1" si="25"/>
        <v>0</v>
      </c>
      <c r="BI40" s="111">
        <f t="shared" ca="1" si="25"/>
        <v>0</v>
      </c>
      <c r="BJ40" s="111">
        <f t="shared" ca="1" si="25"/>
        <v>0</v>
      </c>
      <c r="BK40" s="111">
        <f t="shared" ca="1" si="25"/>
        <v>0</v>
      </c>
      <c r="BL40" s="111">
        <f t="shared" ca="1" si="25"/>
        <v>0</v>
      </c>
      <c r="BM40" s="111">
        <f t="shared" ca="1" si="25"/>
        <v>0</v>
      </c>
      <c r="BN40" s="111">
        <f t="shared" ca="1" si="25"/>
        <v>0</v>
      </c>
      <c r="BO40" s="111">
        <f t="shared" ca="1" si="25"/>
        <v>0</v>
      </c>
      <c r="BP40" s="111">
        <f t="shared" ca="1" si="25"/>
        <v>0</v>
      </c>
      <c r="BQ40" s="111">
        <f t="shared" ca="1" si="25"/>
        <v>0</v>
      </c>
      <c r="BR40" s="111">
        <f t="shared" ca="1" si="25"/>
        <v>0</v>
      </c>
      <c r="BS40" s="111">
        <f t="shared" ca="1" si="25"/>
        <v>0</v>
      </c>
      <c r="BT40" s="111">
        <f t="shared" ca="1" si="25"/>
        <v>0</v>
      </c>
      <c r="BU40" s="111">
        <f t="shared" ca="1" si="25"/>
        <v>0</v>
      </c>
    </row>
    <row r="41" spans="2:73">
      <c r="K41" s="16"/>
    </row>
    <row r="42" spans="2:73">
      <c r="B42" s="88" t="s">
        <v>109</v>
      </c>
      <c r="M42" s="111">
        <v>0</v>
      </c>
      <c r="N42" s="111">
        <f ca="1">M43</f>
        <v>0</v>
      </c>
      <c r="O42" s="111">
        <f t="shared" ref="O42:BU42" ca="1" si="26">N43</f>
        <v>0</v>
      </c>
      <c r="P42" s="111">
        <f t="shared" ca="1" si="26"/>
        <v>0</v>
      </c>
      <c r="Q42" s="111">
        <f t="shared" ca="1" si="26"/>
        <v>0</v>
      </c>
      <c r="R42" s="111">
        <f t="shared" ca="1" si="26"/>
        <v>0</v>
      </c>
      <c r="S42" s="111">
        <f t="shared" ca="1" si="26"/>
        <v>0</v>
      </c>
      <c r="T42" s="111">
        <f t="shared" ca="1" si="26"/>
        <v>459873.78602624498</v>
      </c>
      <c r="U42" s="111">
        <f t="shared" ca="1" si="26"/>
        <v>1824331.4988149656</v>
      </c>
      <c r="V42" s="111">
        <f t="shared" ca="1" si="26"/>
        <v>3225916.1357063204</v>
      </c>
      <c r="W42" s="111">
        <f t="shared" ca="1" si="26"/>
        <v>4609330.9925055755</v>
      </c>
      <c r="X42" s="111">
        <f t="shared" ca="1" si="26"/>
        <v>6004747.7118271813</v>
      </c>
      <c r="Y42" s="111">
        <f t="shared" ca="1" si="26"/>
        <v>7276661.7791483859</v>
      </c>
      <c r="Z42" s="111">
        <f t="shared" ca="1" si="26"/>
        <v>8379206.1833991762</v>
      </c>
      <c r="AA42" s="111">
        <f t="shared" ca="1" si="26"/>
        <v>9273985.0394639503</v>
      </c>
      <c r="AB42" s="111">
        <f t="shared" ca="1" si="26"/>
        <v>9931746.4091762193</v>
      </c>
      <c r="AC42" s="111">
        <f t="shared" ca="1" si="26"/>
        <v>10333679.444699062</v>
      </c>
      <c r="AD42" s="111">
        <f t="shared" ca="1" si="26"/>
        <v>10603597.935051056</v>
      </c>
      <c r="AE42" s="111">
        <f t="shared" ca="1" si="26"/>
        <v>10790666.038680291</v>
      </c>
      <c r="AF42" s="111">
        <f t="shared" ca="1" si="26"/>
        <v>10979015.28778954</v>
      </c>
      <c r="AG42" s="111">
        <f t="shared" ca="1" si="26"/>
        <v>11168660.139604943</v>
      </c>
      <c r="AH42" s="111">
        <f t="shared" ca="1" si="26"/>
        <v>11359606.606384059</v>
      </c>
      <c r="AI42" s="111">
        <f t="shared" ca="1" si="26"/>
        <v>11551849.32495869</v>
      </c>
      <c r="AJ42" s="111">
        <f t="shared" ca="1" si="26"/>
        <v>11745245.183919439</v>
      </c>
      <c r="AK42" s="111">
        <f t="shared" ca="1" si="26"/>
        <v>11825608.109004065</v>
      </c>
      <c r="AL42" s="111">
        <f t="shared" ca="1" si="26"/>
        <v>11906523.945553115</v>
      </c>
      <c r="AM42" s="111">
        <f t="shared" ca="1" si="26"/>
        <v>11987993.343409706</v>
      </c>
      <c r="AN42" s="111">
        <f t="shared" ca="1" si="26"/>
        <v>12070011.097919684</v>
      </c>
      <c r="AO42" s="111">
        <f t="shared" ca="1" si="26"/>
        <v>12152599.142954238</v>
      </c>
      <c r="AP42" s="111">
        <f t="shared" ca="1" si="26"/>
        <v>12235749.251630245</v>
      </c>
      <c r="AQ42" s="111">
        <f t="shared" ca="1" si="26"/>
        <v>12319471.448081307</v>
      </c>
      <c r="AR42" s="111">
        <f t="shared" ca="1" si="26"/>
        <v>12403763.22215669</v>
      </c>
      <c r="AS42" s="111">
        <f t="shared" ca="1" si="26"/>
        <v>12488635.144893022</v>
      </c>
      <c r="AT42" s="111">
        <f t="shared" ca="1" si="26"/>
        <v>12574087.693986753</v>
      </c>
      <c r="AU42" s="111">
        <f t="shared" ca="1" si="26"/>
        <v>12660092.986549392</v>
      </c>
      <c r="AV42" s="111">
        <f t="shared" ca="1" si="26"/>
        <v>12746276.99121489</v>
      </c>
      <c r="AW42" s="111">
        <f t="shared" ca="1" si="26"/>
        <v>12832903.026057936</v>
      </c>
      <c r="AX42" s="111">
        <f t="shared" ca="1" si="26"/>
        <v>12920120.888529338</v>
      </c>
      <c r="AY42" s="111">
        <f t="shared" ca="1" si="26"/>
        <v>0</v>
      </c>
      <c r="AZ42" s="111">
        <f t="shared" ca="1" si="26"/>
        <v>0</v>
      </c>
      <c r="BA42" s="111">
        <f t="shared" ca="1" si="26"/>
        <v>0</v>
      </c>
      <c r="BB42" s="111">
        <f t="shared" ca="1" si="26"/>
        <v>0</v>
      </c>
      <c r="BC42" s="111">
        <f t="shared" ca="1" si="26"/>
        <v>0</v>
      </c>
      <c r="BD42" s="111">
        <f t="shared" ca="1" si="26"/>
        <v>0</v>
      </c>
      <c r="BE42" s="111">
        <f t="shared" ca="1" si="26"/>
        <v>0</v>
      </c>
      <c r="BF42" s="111">
        <f t="shared" ca="1" si="26"/>
        <v>0</v>
      </c>
      <c r="BG42" s="111">
        <f t="shared" ca="1" si="26"/>
        <v>0</v>
      </c>
      <c r="BH42" s="111">
        <f t="shared" ca="1" si="26"/>
        <v>0</v>
      </c>
      <c r="BI42" s="111">
        <f t="shared" ca="1" si="26"/>
        <v>0</v>
      </c>
      <c r="BJ42" s="111">
        <f t="shared" ca="1" si="26"/>
        <v>0</v>
      </c>
      <c r="BK42" s="111">
        <f t="shared" ca="1" si="26"/>
        <v>0</v>
      </c>
      <c r="BL42" s="111">
        <f t="shared" ca="1" si="26"/>
        <v>0</v>
      </c>
      <c r="BM42" s="111">
        <f t="shared" ca="1" si="26"/>
        <v>0</v>
      </c>
      <c r="BN42" s="111">
        <f t="shared" ca="1" si="26"/>
        <v>0</v>
      </c>
      <c r="BO42" s="111">
        <f t="shared" ca="1" si="26"/>
        <v>0</v>
      </c>
      <c r="BP42" s="111">
        <f t="shared" ca="1" si="26"/>
        <v>0</v>
      </c>
      <c r="BQ42" s="111">
        <f t="shared" ca="1" si="26"/>
        <v>0</v>
      </c>
      <c r="BR42" s="111">
        <f t="shared" ca="1" si="26"/>
        <v>0</v>
      </c>
      <c r="BS42" s="111">
        <f t="shared" ca="1" si="26"/>
        <v>0</v>
      </c>
      <c r="BT42" s="111">
        <f t="shared" ca="1" si="26"/>
        <v>0</v>
      </c>
      <c r="BU42" s="111">
        <f t="shared" ca="1" si="26"/>
        <v>0</v>
      </c>
    </row>
    <row r="43" spans="2:73">
      <c r="B43" s="88" t="s">
        <v>110</v>
      </c>
      <c r="M43" s="111">
        <f t="shared" ref="M43:AR43" ca="1" si="27">(M3&lt;=$E$86)*(M39+M42)</f>
        <v>0</v>
      </c>
      <c r="N43" s="111">
        <f t="shared" ca="1" si="27"/>
        <v>0</v>
      </c>
      <c r="O43" s="111">
        <f t="shared" ca="1" si="27"/>
        <v>0</v>
      </c>
      <c r="P43" s="111">
        <f t="shared" ca="1" si="27"/>
        <v>0</v>
      </c>
      <c r="Q43" s="111">
        <f t="shared" ca="1" si="27"/>
        <v>0</v>
      </c>
      <c r="R43" s="111">
        <f t="shared" ca="1" si="27"/>
        <v>0</v>
      </c>
      <c r="S43" s="111">
        <f t="shared" ca="1" si="27"/>
        <v>459873.78601887636</v>
      </c>
      <c r="T43" s="111">
        <f t="shared" ca="1" si="27"/>
        <v>1824331.4988059099</v>
      </c>
      <c r="U43" s="111">
        <f t="shared" ca="1" si="27"/>
        <v>3225916.1356954109</v>
      </c>
      <c r="V43" s="111">
        <f t="shared" ca="1" si="27"/>
        <v>4609330.9924926795</v>
      </c>
      <c r="W43" s="111">
        <f t="shared" ca="1" si="27"/>
        <v>6004747.7118122187</v>
      </c>
      <c r="X43" s="111">
        <f t="shared" ca="1" si="27"/>
        <v>7276661.7791313417</v>
      </c>
      <c r="Y43" s="111">
        <f t="shared" ca="1" si="27"/>
        <v>8379206.1833801288</v>
      </c>
      <c r="Z43" s="111">
        <f t="shared" ca="1" si="27"/>
        <v>9273985.0394430757</v>
      </c>
      <c r="AA43" s="111">
        <f t="shared" ca="1" si="27"/>
        <v>9931746.4091538023</v>
      </c>
      <c r="AB43" s="111">
        <f t="shared" ca="1" si="27"/>
        <v>10333679.444675539</v>
      </c>
      <c r="AC43" s="111">
        <f t="shared" ca="1" si="27"/>
        <v>10603597.935026994</v>
      </c>
      <c r="AD43" s="111">
        <f t="shared" ca="1" si="27"/>
        <v>10790666.038656432</v>
      </c>
      <c r="AE43" s="111">
        <f t="shared" ca="1" si="27"/>
        <v>10979015.287766827</v>
      </c>
      <c r="AF43" s="111">
        <f t="shared" ca="1" si="27"/>
        <v>11168660.139584495</v>
      </c>
      <c r="AG43" s="111">
        <f t="shared" ca="1" si="27"/>
        <v>11359606.606367227</v>
      </c>
      <c r="AH43" s="111">
        <f t="shared" ca="1" si="27"/>
        <v>11551849.324947076</v>
      </c>
      <c r="AI43" s="111">
        <f t="shared" ca="1" si="27"/>
        <v>11745245.183914874</v>
      </c>
      <c r="AJ43" s="111">
        <f t="shared" ca="1" si="27"/>
        <v>11825608.109008679</v>
      </c>
      <c r="AK43" s="111">
        <f t="shared" ca="1" si="27"/>
        <v>11906523.945569318</v>
      </c>
      <c r="AL43" s="111">
        <f t="shared" ca="1" si="27"/>
        <v>11987993.343440233</v>
      </c>
      <c r="AM43" s="111">
        <f t="shared" ca="1" si="27"/>
        <v>12070011.097967589</v>
      </c>
      <c r="AN43" s="111">
        <f t="shared" ca="1" si="27"/>
        <v>12152599.143022941</v>
      </c>
      <c r="AO43" s="111">
        <f t="shared" ca="1" si="27"/>
        <v>12235749.25172352</v>
      </c>
      <c r="AP43" s="111">
        <f t="shared" ca="1" si="27"/>
        <v>12319471.448203331</v>
      </c>
      <c r="AQ43" s="111">
        <f t="shared" ca="1" si="27"/>
        <v>12403763.222312059</v>
      </c>
      <c r="AR43" s="111">
        <f t="shared" ca="1" si="27"/>
        <v>12488635.145086749</v>
      </c>
      <c r="AS43" s="111">
        <f t="shared" ref="AS43:BU43" ca="1" si="28">(AS3&lt;=$E$86)*(AS39+AS42)</f>
        <v>12574087.694224317</v>
      </c>
      <c r="AT43" s="111">
        <f t="shared" ca="1" si="28"/>
        <v>12660092.986836724</v>
      </c>
      <c r="AU43" s="111">
        <f t="shared" ca="1" si="28"/>
        <v>12746276.991558427</v>
      </c>
      <c r="AV43" s="111">
        <f t="shared" ca="1" si="28"/>
        <v>12832903.026464636</v>
      </c>
      <c r="AW43" s="111">
        <f t="shared" ca="1" si="28"/>
        <v>12920120.889006812</v>
      </c>
      <c r="AX43" s="111">
        <f t="shared" ca="1" si="28"/>
        <v>0</v>
      </c>
      <c r="AY43" s="111">
        <f t="shared" ca="1" si="28"/>
        <v>0</v>
      </c>
      <c r="AZ43" s="111">
        <f t="shared" ca="1" si="28"/>
        <v>0</v>
      </c>
      <c r="BA43" s="111">
        <f t="shared" ca="1" si="28"/>
        <v>0</v>
      </c>
      <c r="BB43" s="111">
        <f t="shared" ca="1" si="28"/>
        <v>0</v>
      </c>
      <c r="BC43" s="111">
        <f t="shared" ca="1" si="28"/>
        <v>0</v>
      </c>
      <c r="BD43" s="111">
        <f t="shared" ca="1" si="28"/>
        <v>0</v>
      </c>
      <c r="BE43" s="111">
        <f t="shared" ca="1" si="28"/>
        <v>0</v>
      </c>
      <c r="BF43" s="111">
        <f t="shared" ca="1" si="28"/>
        <v>0</v>
      </c>
      <c r="BG43" s="111">
        <f t="shared" ca="1" si="28"/>
        <v>0</v>
      </c>
      <c r="BH43" s="111">
        <f t="shared" ca="1" si="28"/>
        <v>0</v>
      </c>
      <c r="BI43" s="111">
        <f t="shared" ca="1" si="28"/>
        <v>0</v>
      </c>
      <c r="BJ43" s="111">
        <f t="shared" ca="1" si="28"/>
        <v>0</v>
      </c>
      <c r="BK43" s="111">
        <f t="shared" ca="1" si="28"/>
        <v>0</v>
      </c>
      <c r="BL43" s="111">
        <f t="shared" ca="1" si="28"/>
        <v>0</v>
      </c>
      <c r="BM43" s="111">
        <f t="shared" ca="1" si="28"/>
        <v>0</v>
      </c>
      <c r="BN43" s="111">
        <f t="shared" ca="1" si="28"/>
        <v>0</v>
      </c>
      <c r="BO43" s="111">
        <f t="shared" ca="1" si="28"/>
        <v>0</v>
      </c>
      <c r="BP43" s="111">
        <f t="shared" ca="1" si="28"/>
        <v>0</v>
      </c>
      <c r="BQ43" s="111">
        <f t="shared" ca="1" si="28"/>
        <v>0</v>
      </c>
      <c r="BR43" s="111">
        <f t="shared" ca="1" si="28"/>
        <v>0</v>
      </c>
      <c r="BS43" s="111">
        <f t="shared" ca="1" si="28"/>
        <v>0</v>
      </c>
      <c r="BT43" s="111">
        <f t="shared" ca="1" si="28"/>
        <v>0</v>
      </c>
      <c r="BU43" s="111">
        <f t="shared" ca="1" si="28"/>
        <v>0</v>
      </c>
    </row>
    <row r="44" spans="2:73">
      <c r="B44" s="88" t="s">
        <v>111</v>
      </c>
      <c r="M44" s="111">
        <f>L43*(M46/12)</f>
        <v>0</v>
      </c>
      <c r="N44" s="111">
        <f t="shared" ref="N44:BU44" ca="1" si="29">M43*(N46/12)</f>
        <v>0</v>
      </c>
      <c r="O44" s="111">
        <f t="shared" ca="1" si="29"/>
        <v>0</v>
      </c>
      <c r="P44" s="111">
        <f t="shared" ca="1" si="29"/>
        <v>0</v>
      </c>
      <c r="Q44" s="111">
        <f t="shared" ca="1" si="29"/>
        <v>0</v>
      </c>
      <c r="R44" s="111">
        <f t="shared" ca="1" si="29"/>
        <v>0</v>
      </c>
      <c r="S44" s="111">
        <f t="shared" ca="1" si="29"/>
        <v>0</v>
      </c>
      <c r="T44" s="111">
        <f ca="1">S43*(T46/12)</f>
        <v>3122.5583361943713</v>
      </c>
      <c r="U44" s="111">
        <f t="shared" ca="1" si="29"/>
        <v>12427.954280365462</v>
      </c>
      <c r="V44" s="111">
        <f t="shared" ca="1" si="29"/>
        <v>22079.702342863846</v>
      </c>
      <c r="W44" s="111">
        <f t="shared" ca="1" si="29"/>
        <v>31616.361554797397</v>
      </c>
      <c r="X44" s="111">
        <f t="shared" ca="1" si="29"/>
        <v>41194.821083423747</v>
      </c>
      <c r="Y44" s="111">
        <f t="shared" ca="1" si="29"/>
        <v>49922.447718452961</v>
      </c>
      <c r="Z44" s="111">
        <f t="shared" ca="1" si="29"/>
        <v>57486.661248570497</v>
      </c>
      <c r="AA44" s="111">
        <f t="shared" ca="1" si="29"/>
        <v>63620.464769083454</v>
      </c>
      <c r="AB44" s="111">
        <f t="shared" ca="1" si="29"/>
        <v>68138.070472854219</v>
      </c>
      <c r="AC44" s="111">
        <f t="shared" ca="1" si="29"/>
        <v>70918.922546868387</v>
      </c>
      <c r="AD44" s="111">
        <f t="shared" ca="1" si="29"/>
        <v>72782.389319496287</v>
      </c>
      <c r="AE44" s="111">
        <f t="shared" ca="1" si="29"/>
        <v>74063.534800658192</v>
      </c>
      <c r="AF44" s="111">
        <f t="shared" ca="1" si="29"/>
        <v>75359.137509084918</v>
      </c>
      <c r="AG44" s="111">
        <f t="shared" ca="1" si="29"/>
        <v>76660.752476429669</v>
      </c>
      <c r="AH44" s="111">
        <f t="shared" ca="1" si="29"/>
        <v>77957.004277186061</v>
      </c>
      <c r="AI44" s="111">
        <f t="shared" ca="1" si="29"/>
        <v>79110.144670390902</v>
      </c>
      <c r="AJ44" s="111">
        <f t="shared" ca="1" si="29"/>
        <v>80362.925089209559</v>
      </c>
      <c r="AK44" s="111">
        <f t="shared" ca="1" si="29"/>
        <v>80915.836565283709</v>
      </c>
      <c r="AL44" s="111">
        <f t="shared" ca="1" si="29"/>
        <v>81469.397887229265</v>
      </c>
      <c r="AM44" s="111">
        <f t="shared" ca="1" si="29"/>
        <v>82017.754558092405</v>
      </c>
      <c r="AN44" s="111">
        <f t="shared" ca="1" si="29"/>
        <v>82588.045103585071</v>
      </c>
      <c r="AO44" s="111">
        <f t="shared" ca="1" si="29"/>
        <v>83150.108769753482</v>
      </c>
      <c r="AP44" s="111">
        <f t="shared" ca="1" si="29"/>
        <v>83722.196573724315</v>
      </c>
      <c r="AQ44" s="111">
        <f t="shared" ca="1" si="29"/>
        <v>84291.774231586503</v>
      </c>
      <c r="AR44" s="111">
        <f t="shared" ca="1" si="29"/>
        <v>84871.922931122099</v>
      </c>
      <c r="AS44" s="111">
        <f t="shared" ca="1" si="29"/>
        <v>85452.549332620198</v>
      </c>
      <c r="AT44" s="111">
        <f t="shared" ca="1" si="29"/>
        <v>86005.292851596678</v>
      </c>
      <c r="AU44" s="111">
        <f t="shared" ca="1" si="29"/>
        <v>86184.005010990557</v>
      </c>
      <c r="AV44" s="111">
        <f t="shared" ca="1" si="29"/>
        <v>86626.035252079528</v>
      </c>
      <c r="AW44" s="111">
        <f t="shared" ca="1" si="29"/>
        <v>87217.862951639894</v>
      </c>
      <c r="AX44" s="111">
        <f t="shared" ca="1" si="29"/>
        <v>87810.632613068112</v>
      </c>
      <c r="AY44" s="111">
        <f t="shared" ca="1" si="29"/>
        <v>0</v>
      </c>
      <c r="AZ44" s="111">
        <f t="shared" ca="1" si="29"/>
        <v>0</v>
      </c>
      <c r="BA44" s="111">
        <f t="shared" ca="1" si="29"/>
        <v>0</v>
      </c>
      <c r="BB44" s="111">
        <f t="shared" ca="1" si="29"/>
        <v>0</v>
      </c>
      <c r="BC44" s="111">
        <f t="shared" ca="1" si="29"/>
        <v>0</v>
      </c>
      <c r="BD44" s="111">
        <f t="shared" ca="1" si="29"/>
        <v>0</v>
      </c>
      <c r="BE44" s="111">
        <f t="shared" ca="1" si="29"/>
        <v>0</v>
      </c>
      <c r="BF44" s="111">
        <f t="shared" ca="1" si="29"/>
        <v>0</v>
      </c>
      <c r="BG44" s="111">
        <f t="shared" ca="1" si="29"/>
        <v>0</v>
      </c>
      <c r="BH44" s="111">
        <f t="shared" ca="1" si="29"/>
        <v>0</v>
      </c>
      <c r="BI44" s="111">
        <f t="shared" ca="1" si="29"/>
        <v>0</v>
      </c>
      <c r="BJ44" s="111">
        <f t="shared" ca="1" si="29"/>
        <v>0</v>
      </c>
      <c r="BK44" s="111">
        <f t="shared" ca="1" si="29"/>
        <v>0</v>
      </c>
      <c r="BL44" s="111">
        <f t="shared" ca="1" si="29"/>
        <v>0</v>
      </c>
      <c r="BM44" s="111">
        <f t="shared" ca="1" si="29"/>
        <v>0</v>
      </c>
      <c r="BN44" s="111">
        <f t="shared" ca="1" si="29"/>
        <v>0</v>
      </c>
      <c r="BO44" s="111">
        <f t="shared" ca="1" si="29"/>
        <v>0</v>
      </c>
      <c r="BP44" s="111">
        <f t="shared" ca="1" si="29"/>
        <v>0</v>
      </c>
      <c r="BQ44" s="111">
        <f t="shared" ca="1" si="29"/>
        <v>0</v>
      </c>
      <c r="BR44" s="111">
        <f t="shared" ca="1" si="29"/>
        <v>0</v>
      </c>
      <c r="BS44" s="111">
        <f t="shared" ca="1" si="29"/>
        <v>0</v>
      </c>
      <c r="BT44" s="111">
        <f t="shared" ca="1" si="29"/>
        <v>0</v>
      </c>
      <c r="BU44" s="111">
        <f t="shared" ca="1" si="29"/>
        <v>0</v>
      </c>
    </row>
    <row r="45" spans="2:73">
      <c r="B45" s="88" t="s">
        <v>112</v>
      </c>
      <c r="K45" s="17"/>
      <c r="M45" s="142" cm="1">
        <f t="array" ref="M45">_xlfn.XLOOKUP(TEXT(M$4,"yyyymm"),TEXT('SOFR Curve'!$B$12:$B$132,"yyyymm"),'SOFR Curve'!$C$12:$C$132,"Not Found",0)</f>
        <v>4.1509299999999999E-2</v>
      </c>
      <c r="N45" s="142" cm="1">
        <f t="array" ref="N45">_xlfn.XLOOKUP(TEXT(N$4,"yyyymm"),TEXT('SOFR Curve'!$B$12:$B$132,"yyyymm"),'SOFR Curve'!$C$12:$C$132,"Not Found",0)</f>
        <v>4.2074999999999994E-2</v>
      </c>
      <c r="O45" s="142" cm="1">
        <f t="array" ref="O45">_xlfn.XLOOKUP(TEXT(O$4,"yyyymm"),TEXT('SOFR Curve'!$B$12:$B$132,"yyyymm"),'SOFR Curve'!$C$12:$C$132,"Not Found",0)</f>
        <v>4.2434399999999997E-2</v>
      </c>
      <c r="P45" s="142" cm="1">
        <f t="array" ref="P45">_xlfn.XLOOKUP(TEXT(P$4,"yyyymm"),TEXT('SOFR Curve'!$B$12:$B$132,"yyyymm"),'SOFR Curve'!$C$12:$C$132,"Not Found",0)</f>
        <v>4.3926899999999998E-2</v>
      </c>
      <c r="Q45" s="142" cm="1">
        <f t="array" ref="Q45">_xlfn.XLOOKUP(TEXT(Q$4,"yyyymm"),TEXT('SOFR Curve'!$B$12:$B$132,"yyyymm"),'SOFR Curve'!$C$12:$C$132,"Not Found",0)</f>
        <v>4.4676500000000001E-2</v>
      </c>
      <c r="R45" s="142" cm="1">
        <f t="array" ref="R45">_xlfn.XLOOKUP(TEXT(R$4,"yyyymm"),TEXT('SOFR Curve'!$B$12:$B$132,"yyyymm"),'SOFR Curve'!$C$12:$C$132,"Not Found",0)</f>
        <v>4.53444E-2</v>
      </c>
      <c r="S45" s="142" cm="1">
        <f t="array" ref="S45">_xlfn.XLOOKUP(TEXT(S$4,"yyyymm"),TEXT('SOFR Curve'!$B$12:$B$132,"yyyymm"),'SOFR Curve'!$C$12:$C$132,"Not Found",0)</f>
        <v>4.6244800000000003E-2</v>
      </c>
      <c r="T45" s="142" cm="1">
        <f t="array" ref="T45">_xlfn.XLOOKUP(TEXT(T$4,"yyyymm"),TEXT('SOFR Curve'!$B$12:$B$132,"yyyymm"),'SOFR Curve'!$C$12:$C$132,"Not Found",0)</f>
        <v>4.6480399999999998E-2</v>
      </c>
      <c r="U45" s="142" cm="1">
        <f t="array" ref="U45">_xlfn.XLOOKUP(TEXT(U$4,"yyyymm"),TEXT('SOFR Curve'!$B$12:$B$132,"yyyymm"),'SOFR Curve'!$C$12:$C$132,"Not Found",0)</f>
        <v>4.6748000000000005E-2</v>
      </c>
      <c r="V45" s="142" cm="1">
        <f t="array" ref="V45">_xlfn.XLOOKUP(TEXT(V$4,"yyyymm"),TEXT('SOFR Curve'!$B$12:$B$132,"yyyymm"),'SOFR Curve'!$C$12:$C$132,"Not Found",0)</f>
        <v>4.7133700000000001E-2</v>
      </c>
      <c r="W45" s="142" cm="1">
        <f t="array" ref="W45">_xlfn.XLOOKUP(TEXT(W$4,"yyyymm"),TEXT('SOFR Curve'!$B$12:$B$132,"yyyymm"),'SOFR Curve'!$C$12:$C$132,"Not Found",0)</f>
        <v>4.7310499999999998E-2</v>
      </c>
      <c r="X45" s="142" cm="1">
        <f t="array" ref="X45">_xlfn.XLOOKUP(TEXT(X$4,"yyyymm"),TEXT('SOFR Curve'!$B$12:$B$132,"yyyymm"),'SOFR Curve'!$C$12:$C$132,"Not Found",0)</f>
        <v>4.7324499999999999E-2</v>
      </c>
      <c r="Y45" s="142" cm="1">
        <f t="array" ref="Y45">_xlfn.XLOOKUP(TEXT(Y$4,"yyyymm"),TEXT('SOFR Curve'!$B$12:$B$132,"yyyymm"),'SOFR Curve'!$C$12:$C$132,"Not Found",0)</f>
        <v>4.7327500000000002E-2</v>
      </c>
      <c r="Z45" s="142" cm="1">
        <f t="array" ref="Z45">_xlfn.XLOOKUP(TEXT(Z$4,"yyyymm"),TEXT('SOFR Curve'!$B$12:$B$132,"yyyymm"),'SOFR Curve'!$C$12:$C$132,"Not Found",0)</f>
        <v>4.7327599999999997E-2</v>
      </c>
      <c r="AA45" s="142" cm="1">
        <f t="array" ref="AA45">_xlfn.XLOOKUP(TEXT(AA$4,"yyyymm"),TEXT('SOFR Curve'!$B$12:$B$132,"yyyymm"),'SOFR Curve'!$C$12:$C$132,"Not Found",0)</f>
        <v>4.7321200000000001E-2</v>
      </c>
      <c r="AB45" s="142" cm="1">
        <f t="array" ref="AB45">_xlfn.XLOOKUP(TEXT(AB$4,"yyyymm"),TEXT('SOFR Curve'!$B$12:$B$132,"yyyymm"),'SOFR Curve'!$C$12:$C$132,"Not Found",0)</f>
        <v>4.7327599999999997E-2</v>
      </c>
      <c r="AC45" s="142" cm="1">
        <f t="array" ref="AC45">_xlfn.XLOOKUP(TEXT(AC$4,"yyyymm"),TEXT('SOFR Curve'!$B$12:$B$132,"yyyymm"),'SOFR Curve'!$C$12:$C$132,"Not Found",0)</f>
        <v>4.73547E-2</v>
      </c>
      <c r="AD45" s="142" cm="1">
        <f t="array" ref="AD45">_xlfn.XLOOKUP(TEXT(AD$4,"yyyymm"),TEXT('SOFR Curve'!$B$12:$B$132,"yyyymm"),'SOFR Curve'!$C$12:$C$132,"Not Found",0)</f>
        <v>4.7367199999999998E-2</v>
      </c>
      <c r="AE45" s="142" cm="1">
        <f t="array" ref="AE45">_xlfn.XLOOKUP(TEXT(AE$4,"yyyymm"),TEXT('SOFR Curve'!$B$12:$B$132,"yyyymm"),'SOFR Curve'!$C$12:$C$132,"Not Found",0)</f>
        <v>4.7363999999999996E-2</v>
      </c>
      <c r="AF45" s="142" cm="1">
        <f t="array" ref="AF45">_xlfn.XLOOKUP(TEXT(AF$4,"yyyymm"),TEXT('SOFR Curve'!$B$12:$B$132,"yyyymm"),'SOFR Curve'!$C$12:$C$132,"Not Found",0)</f>
        <v>4.7367100000000002E-2</v>
      </c>
      <c r="AG45" s="142" cm="1">
        <f t="array" ref="AG45">_xlfn.XLOOKUP(TEXT(AG$4,"yyyymm"),TEXT('SOFR Curve'!$B$12:$B$132,"yyyymm"),'SOFR Curve'!$C$12:$C$132,"Not Found",0)</f>
        <v>4.7366999999999999E-2</v>
      </c>
      <c r="AH45" s="142" cm="1">
        <f t="array" ref="AH45">_xlfn.XLOOKUP(TEXT(AH$4,"yyyymm"),TEXT('SOFR Curve'!$B$12:$B$132,"yyyymm"),'SOFR Curve'!$C$12:$C$132,"Not Found",0)</f>
        <v>4.7351799999999999E-2</v>
      </c>
      <c r="AI45" s="142" cm="1">
        <f t="array" ref="AI45">_xlfn.XLOOKUP(TEXT(AI$4,"yyyymm"),TEXT('SOFR Curve'!$B$12:$B$132,"yyyymm"),'SOFR Curve'!$C$12:$C$132,"Not Found",0)</f>
        <v>4.7179200000000004E-2</v>
      </c>
      <c r="AJ45" s="142" cm="1">
        <f t="array" ref="AJ45">_xlfn.XLOOKUP(TEXT(AJ$4,"yyyymm"),TEXT('SOFR Curve'!$B$12:$B$132,"yyyymm"),'SOFR Curve'!$C$12:$C$132,"Not Found",0)</f>
        <v>4.7106000000000002E-2</v>
      </c>
      <c r="AK45" s="142" cm="1">
        <f t="array" ref="AK45">_xlfn.XLOOKUP(TEXT(AK$4,"yyyymm"),TEXT('SOFR Curve'!$B$12:$B$132,"yyyymm"),'SOFR Curve'!$C$12:$C$132,"Not Found",0)</f>
        <v>4.7109100000000001E-2</v>
      </c>
      <c r="AL45" s="142" cm="1">
        <f t="array" ref="AL45">_xlfn.XLOOKUP(TEXT(AL$4,"yyyymm"),TEXT('SOFR Curve'!$B$12:$B$132,"yyyymm"),'SOFR Curve'!$C$12:$C$132,"Not Found",0)</f>
        <v>4.7108999999999998E-2</v>
      </c>
      <c r="AM45" s="142" cm="1">
        <f t="array" ref="AM45">_xlfn.XLOOKUP(TEXT(AM$4,"yyyymm"),TEXT('SOFR Curve'!$B$12:$B$132,"yyyymm"),'SOFR Curve'!$C$12:$C$132,"Not Found",0)</f>
        <v>4.70999E-2</v>
      </c>
      <c r="AN45" s="142" cm="1">
        <f t="array" ref="AN45">_xlfn.XLOOKUP(TEXT(AN$4,"yyyymm"),TEXT('SOFR Curve'!$B$12:$B$132,"yyyymm"),'SOFR Curve'!$C$12:$C$132,"Not Found",0)</f>
        <v>4.7108999999999998E-2</v>
      </c>
      <c r="AO45" s="142" cm="1">
        <f t="array" ref="AO45">_xlfn.XLOOKUP(TEXT(AO$4,"yyyymm"),TEXT('SOFR Curve'!$B$12:$B$132,"yyyymm"),'SOFR Curve'!$C$12:$C$132,"Not Found",0)</f>
        <v>4.7106000000000002E-2</v>
      </c>
      <c r="AP45" s="142" cm="1">
        <f t="array" ref="AP45">_xlfn.XLOOKUP(TEXT(AP$4,"yyyymm"),TEXT('SOFR Curve'!$B$12:$B$132,"yyyymm"),'SOFR Curve'!$C$12:$C$132,"Not Found",0)</f>
        <v>4.7109100000000001E-2</v>
      </c>
      <c r="AQ45" s="142" cm="1">
        <f t="array" ref="AQ45">_xlfn.XLOOKUP(TEXT(AQ$4,"yyyymm"),TEXT('SOFR Curve'!$B$12:$B$132,"yyyymm"),'SOFR Curve'!$C$12:$C$132,"Not Found",0)</f>
        <v>4.7105899999999999E-2</v>
      </c>
      <c r="AR45" s="142" cm="1">
        <f t="array" ref="AR45">_xlfn.XLOOKUP(TEXT(AR$4,"yyyymm"),TEXT('SOFR Curve'!$B$12:$B$132,"yyyymm"),'SOFR Curve'!$C$12:$C$132,"Not Found",0)</f>
        <v>4.7109199999999997E-2</v>
      </c>
      <c r="AS45" s="142" cm="1">
        <f t="array" ref="AS45">_xlfn.XLOOKUP(TEXT(AS$4,"yyyymm"),TEXT('SOFR Curve'!$B$12:$B$132,"yyyymm"),'SOFR Curve'!$C$12:$C$132,"Not Found",0)</f>
        <v>4.7109100000000001E-2</v>
      </c>
      <c r="AT45" s="142" cm="1">
        <f t="array" ref="AT45">_xlfn.XLOOKUP(TEXT(AT$4,"yyyymm"),TEXT('SOFR Curve'!$B$12:$B$132,"yyyymm"),'SOFR Curve'!$C$12:$C$132,"Not Found",0)</f>
        <v>4.7078599999999998E-2</v>
      </c>
      <c r="AU45" s="142" cm="1">
        <f t="array" ref="AU45">_xlfn.XLOOKUP(TEXT(AU$4,"yyyymm"),TEXT('SOFR Curve'!$B$12:$B$132,"yyyymm"),'SOFR Curve'!$C$12:$C$132,"Not Found",0)</f>
        <v>4.66904E-2</v>
      </c>
      <c r="AV45" s="142" cm="1">
        <f t="array" ref="AV45">_xlfn.XLOOKUP(TEXT(AV$4,"yyyymm"),TEXT('SOFR Curve'!$B$12:$B$132,"yyyymm"),'SOFR Curve'!$C$12:$C$132,"Not Found",0)</f>
        <v>4.6554200000000004E-2</v>
      </c>
      <c r="AW45" s="142" cm="1">
        <f t="array" ref="AW45">_xlfn.XLOOKUP(TEXT(AW$4,"yyyymm"),TEXT('SOFR Curve'!$B$12:$B$132,"yyyymm"),'SOFR Curve'!$C$12:$C$132,"Not Found",0)</f>
        <v>4.6557099999999997E-2</v>
      </c>
      <c r="AX45" s="142" cm="1">
        <f t="array" ref="AX45">_xlfn.XLOOKUP(TEXT(AX$4,"yyyymm"),TEXT('SOFR Curve'!$B$12:$B$132,"yyyymm"),'SOFR Curve'!$C$12:$C$132,"Not Found",0)</f>
        <v>4.6557099999999997E-2</v>
      </c>
      <c r="AY45" s="142" cm="1">
        <f t="array" ref="AY45">_xlfn.XLOOKUP(TEXT(AY$4,"yyyymm"),TEXT('SOFR Curve'!$B$12:$B$132,"yyyymm"),'SOFR Curve'!$C$12:$C$132,"Not Found",0)</f>
        <v>4.6548199999999998E-2</v>
      </c>
      <c r="AZ45" s="142" cm="1">
        <f t="array" ref="AZ45">_xlfn.XLOOKUP(TEXT(AZ$4,"yyyymm"),TEXT('SOFR Curve'!$B$12:$B$132,"yyyymm"),'SOFR Curve'!$C$12:$C$132,"Not Found",0)</f>
        <v>4.6557199999999993E-2</v>
      </c>
      <c r="BA45" s="142" cm="1">
        <f t="array" ref="BA45">_xlfn.XLOOKUP(TEXT(BA$4,"yyyymm"),TEXT('SOFR Curve'!$B$12:$B$132,"yyyymm"),'SOFR Curve'!$C$12:$C$132,"Not Found",0)</f>
        <v>4.6554100000000001E-2</v>
      </c>
      <c r="BB45" s="142" cm="1">
        <f t="array" ref="BB45">_xlfn.XLOOKUP(TEXT(BB$4,"yyyymm"),TEXT('SOFR Curve'!$B$12:$B$132,"yyyymm"),'SOFR Curve'!$C$12:$C$132,"Not Found",0)</f>
        <v>4.6557199999999993E-2</v>
      </c>
      <c r="BC45" s="142" cm="1">
        <f t="array" ref="BC45">_xlfn.XLOOKUP(TEXT(BC$4,"yyyymm"),TEXT('SOFR Curve'!$B$12:$B$132,"yyyymm"),'SOFR Curve'!$C$12:$C$132,"Not Found",0)</f>
        <v>4.6554200000000004E-2</v>
      </c>
      <c r="BD45" s="142" cm="1">
        <f t="array" ref="BD45">_xlfn.XLOOKUP(TEXT(BD$4,"yyyymm"),TEXT('SOFR Curve'!$B$12:$B$132,"yyyymm"),'SOFR Curve'!$C$12:$C$132,"Not Found",0)</f>
        <v>4.6557099999999997E-2</v>
      </c>
      <c r="BE45" s="142" cm="1">
        <f t="array" ref="BE45">_xlfn.XLOOKUP(TEXT(BE$4,"yyyymm"),TEXT('SOFR Curve'!$B$12:$B$132,"yyyymm"),'SOFR Curve'!$C$12:$C$132,"Not Found",0)</f>
        <v>4.6557199999999993E-2</v>
      </c>
      <c r="BF45" s="142" cm="1">
        <f t="array" ref="BF45">_xlfn.XLOOKUP(TEXT(BF$4,"yyyymm"),TEXT('SOFR Curve'!$B$12:$B$132,"yyyymm"),'SOFR Curve'!$C$12:$C$132,"Not Found",0)</f>
        <v>4.65637E-2</v>
      </c>
      <c r="BG45" s="142" cm="1">
        <f t="array" ref="BG45">_xlfn.XLOOKUP(TEXT(BG$4,"yyyymm"),TEXT('SOFR Curve'!$B$12:$B$132,"yyyymm"),'SOFR Curve'!$C$12:$C$132,"Not Found",0)</f>
        <v>4.6704299999999997E-2</v>
      </c>
      <c r="BH45" s="142" cm="1">
        <f t="array" ref="BH45">_xlfn.XLOOKUP(TEXT(BH$4,"yyyymm"),TEXT('SOFR Curve'!$B$12:$B$132,"yyyymm"),'SOFR Curve'!$C$12:$C$132,"Not Found",0)</f>
        <v>4.6747899999999995E-2</v>
      </c>
      <c r="BI45" s="142" cm="1">
        <f t="array" ref="BI45">_xlfn.XLOOKUP(TEXT(BI$4,"yyyymm"),TEXT('SOFR Curve'!$B$12:$B$132,"yyyymm"),'SOFR Curve'!$C$12:$C$132,"Not Found",0)</f>
        <v>4.6751100000000004E-2</v>
      </c>
      <c r="BJ45" s="142" cm="1">
        <f t="array" ref="BJ45">_xlfn.XLOOKUP(TEXT(BJ$4,"yyyymm"),TEXT('SOFR Curve'!$B$12:$B$132,"yyyymm"),'SOFR Curve'!$C$12:$C$132,"Not Found",0)</f>
        <v>4.6750899999999998E-2</v>
      </c>
      <c r="BK45" s="142" cm="1">
        <f t="array" ref="BK45">_xlfn.XLOOKUP(TEXT(BK$4,"yyyymm"),TEXT('SOFR Curve'!$B$12:$B$132,"yyyymm"),'SOFR Curve'!$C$12:$C$132,"Not Found",0)</f>
        <v>4.6741999999999999E-2</v>
      </c>
      <c r="BL45" s="142" cm="1">
        <f t="array" ref="BL45">_xlfn.XLOOKUP(TEXT(BL$4,"yyyymm"),TEXT('SOFR Curve'!$B$12:$B$132,"yyyymm"),'SOFR Curve'!$C$12:$C$132,"Not Found",0)</f>
        <v>4.6751100000000004E-2</v>
      </c>
      <c r="BM45" s="142" cm="1">
        <f t="array" ref="BM45">_xlfn.XLOOKUP(TEXT(BM$4,"yyyymm"),TEXT('SOFR Curve'!$B$12:$B$132,"yyyymm"),'SOFR Curve'!$C$12:$C$132,"Not Found",0)</f>
        <v>4.6748000000000005E-2</v>
      </c>
      <c r="BN45" s="142" cm="1">
        <f t="array" ref="BN45">_xlfn.XLOOKUP(TEXT(BN$4,"yyyymm"),TEXT('SOFR Curve'!$B$12:$B$132,"yyyymm"),'SOFR Curve'!$C$12:$C$132,"Not Found",0)</f>
        <v>4.6751100000000004E-2</v>
      </c>
      <c r="BO45" s="142" cm="1">
        <f t="array" ref="BO45">_xlfn.XLOOKUP(TEXT(BO$4,"yyyymm"),TEXT('SOFR Curve'!$B$12:$B$132,"yyyymm"),'SOFR Curve'!$C$12:$C$132,"Not Found",0)</f>
        <v>4.6748000000000005E-2</v>
      </c>
      <c r="BP45" s="142" cm="1">
        <f t="array" ref="BP45">_xlfn.XLOOKUP(TEXT(BP$4,"yyyymm"),TEXT('SOFR Curve'!$B$12:$B$132,"yyyymm"),'SOFR Curve'!$C$12:$C$132,"Not Found",0)</f>
        <v>4.6750999999999994E-2</v>
      </c>
      <c r="BQ45" s="142" cm="1">
        <f t="array" ref="BQ45">_xlfn.XLOOKUP(TEXT(BQ$4,"yyyymm"),TEXT('SOFR Curve'!$B$12:$B$132,"yyyymm"),'SOFR Curve'!$C$12:$C$132,"Not Found",0)</f>
        <v>4.6750999999999994E-2</v>
      </c>
      <c r="BR45" s="142" cm="1">
        <f t="array" ref="BR45">_xlfn.XLOOKUP(TEXT(BR$4,"yyyymm"),TEXT('SOFR Curve'!$B$12:$B$132,"yyyymm"),'SOFR Curve'!$C$12:$C$132,"Not Found",0)</f>
        <v>4.67838E-2</v>
      </c>
      <c r="BS45" s="142" cm="1">
        <f t="array" ref="BS45">_xlfn.XLOOKUP(TEXT(BS$4,"yyyymm"),TEXT('SOFR Curve'!$B$12:$B$132,"yyyymm"),'SOFR Curve'!$C$12:$C$132,"Not Found",0)</f>
        <v>4.7300199999999994E-2</v>
      </c>
      <c r="BT45" s="142" cm="1">
        <f t="array" ref="BT45">_xlfn.XLOOKUP(TEXT(BT$4,"yyyymm"),TEXT('SOFR Curve'!$B$12:$B$132,"yyyymm"),'SOFR Curve'!$C$12:$C$132,"Not Found",0)</f>
        <v>4.7444100000000003E-2</v>
      </c>
      <c r="BU45" s="142" cm="1">
        <f t="array" ref="BU45">_xlfn.XLOOKUP(TEXT(BU$4,"yyyymm"),TEXT('SOFR Curve'!$B$12:$B$132,"yyyymm"),'SOFR Curve'!$C$12:$C$132,"Not Found",0)</f>
        <v>4.7447299999999998E-2</v>
      </c>
    </row>
    <row r="46" spans="2:73">
      <c r="B46" s="88" t="s">
        <v>10</v>
      </c>
      <c r="K46" s="18">
        <v>3.5000000000000003E-2</v>
      </c>
      <c r="M46" s="90">
        <f>M45+$K$46</f>
        <v>7.6509300000000002E-2</v>
      </c>
      <c r="N46" s="90">
        <f t="shared" ref="N46:BU46" si="30">N45+$K$46</f>
        <v>7.7075000000000005E-2</v>
      </c>
      <c r="O46" s="90">
        <f t="shared" si="30"/>
        <v>7.74344E-2</v>
      </c>
      <c r="P46" s="90">
        <f t="shared" si="30"/>
        <v>7.8926899999999994E-2</v>
      </c>
      <c r="Q46" s="90">
        <f t="shared" si="30"/>
        <v>7.9676500000000011E-2</v>
      </c>
      <c r="R46" s="90">
        <f t="shared" si="30"/>
        <v>8.034440000000001E-2</v>
      </c>
      <c r="S46" s="90">
        <f t="shared" si="30"/>
        <v>8.1244800000000006E-2</v>
      </c>
      <c r="T46" s="90">
        <f t="shared" si="30"/>
        <v>8.1480400000000008E-2</v>
      </c>
      <c r="U46" s="90">
        <f t="shared" si="30"/>
        <v>8.1748000000000015E-2</v>
      </c>
      <c r="V46" s="90">
        <f t="shared" si="30"/>
        <v>8.2133700000000004E-2</v>
      </c>
      <c r="W46" s="90">
        <f t="shared" si="30"/>
        <v>8.2310500000000009E-2</v>
      </c>
      <c r="X46" s="90">
        <f t="shared" si="30"/>
        <v>8.2324499999999995E-2</v>
      </c>
      <c r="Y46" s="90">
        <f t="shared" si="30"/>
        <v>8.2327499999999998E-2</v>
      </c>
      <c r="Z46" s="90">
        <f t="shared" si="30"/>
        <v>8.2327600000000001E-2</v>
      </c>
      <c r="AA46" s="90">
        <f t="shared" si="30"/>
        <v>8.2321200000000011E-2</v>
      </c>
      <c r="AB46" s="90">
        <f t="shared" si="30"/>
        <v>8.2327600000000001E-2</v>
      </c>
      <c r="AC46" s="90">
        <f t="shared" si="30"/>
        <v>8.2354700000000003E-2</v>
      </c>
      <c r="AD46" s="90">
        <f t="shared" si="30"/>
        <v>8.2367200000000002E-2</v>
      </c>
      <c r="AE46" s="90">
        <f t="shared" si="30"/>
        <v>8.2363999999999993E-2</v>
      </c>
      <c r="AF46" s="90">
        <f t="shared" si="30"/>
        <v>8.2367099999999999E-2</v>
      </c>
      <c r="AG46" s="90">
        <f t="shared" si="30"/>
        <v>8.2366999999999996E-2</v>
      </c>
      <c r="AH46" s="90">
        <f t="shared" si="30"/>
        <v>8.2351800000000003E-2</v>
      </c>
      <c r="AI46" s="90">
        <f t="shared" si="30"/>
        <v>8.2179200000000008E-2</v>
      </c>
      <c r="AJ46" s="90">
        <f t="shared" si="30"/>
        <v>8.2106000000000012E-2</v>
      </c>
      <c r="AK46" s="90">
        <f t="shared" si="30"/>
        <v>8.2109100000000004E-2</v>
      </c>
      <c r="AL46" s="90">
        <f t="shared" si="30"/>
        <v>8.2109000000000001E-2</v>
      </c>
      <c r="AM46" s="90">
        <f t="shared" si="30"/>
        <v>8.2099900000000003E-2</v>
      </c>
      <c r="AN46" s="90">
        <f t="shared" si="30"/>
        <v>8.2109000000000001E-2</v>
      </c>
      <c r="AO46" s="90">
        <f t="shared" si="30"/>
        <v>8.2106000000000012E-2</v>
      </c>
      <c r="AP46" s="90">
        <f t="shared" si="30"/>
        <v>8.2109100000000004E-2</v>
      </c>
      <c r="AQ46" s="90">
        <f t="shared" si="30"/>
        <v>8.2105900000000009E-2</v>
      </c>
      <c r="AR46" s="90">
        <f t="shared" si="30"/>
        <v>8.2109199999999993E-2</v>
      </c>
      <c r="AS46" s="90">
        <f t="shared" si="30"/>
        <v>8.2109100000000004E-2</v>
      </c>
      <c r="AT46" s="90">
        <f t="shared" si="30"/>
        <v>8.2078600000000002E-2</v>
      </c>
      <c r="AU46" s="90">
        <f t="shared" si="30"/>
        <v>8.1690399999999996E-2</v>
      </c>
      <c r="AV46" s="90">
        <f t="shared" si="30"/>
        <v>8.1554200000000007E-2</v>
      </c>
      <c r="AW46" s="90">
        <f t="shared" si="30"/>
        <v>8.1557099999999993E-2</v>
      </c>
      <c r="AX46" s="90">
        <f t="shared" si="30"/>
        <v>8.1557099999999993E-2</v>
      </c>
      <c r="AY46" s="90">
        <f t="shared" si="30"/>
        <v>8.1548200000000001E-2</v>
      </c>
      <c r="AZ46" s="90">
        <f t="shared" si="30"/>
        <v>8.1557199999999996E-2</v>
      </c>
      <c r="BA46" s="90">
        <f t="shared" si="30"/>
        <v>8.1554100000000004E-2</v>
      </c>
      <c r="BB46" s="90">
        <f t="shared" si="30"/>
        <v>8.1557199999999996E-2</v>
      </c>
      <c r="BC46" s="90">
        <f t="shared" si="30"/>
        <v>8.1554200000000007E-2</v>
      </c>
      <c r="BD46" s="90">
        <f t="shared" si="30"/>
        <v>8.1557099999999993E-2</v>
      </c>
      <c r="BE46" s="90">
        <f t="shared" si="30"/>
        <v>8.1557199999999996E-2</v>
      </c>
      <c r="BF46" s="90">
        <f t="shared" si="30"/>
        <v>8.1563700000000003E-2</v>
      </c>
      <c r="BG46" s="90">
        <f t="shared" si="30"/>
        <v>8.1704300000000007E-2</v>
      </c>
      <c r="BH46" s="90">
        <f t="shared" si="30"/>
        <v>8.1747899999999998E-2</v>
      </c>
      <c r="BI46" s="90">
        <f t="shared" si="30"/>
        <v>8.1751100000000007E-2</v>
      </c>
      <c r="BJ46" s="90">
        <f t="shared" si="30"/>
        <v>8.1750900000000001E-2</v>
      </c>
      <c r="BK46" s="90">
        <f t="shared" si="30"/>
        <v>8.1742000000000009E-2</v>
      </c>
      <c r="BL46" s="90">
        <f t="shared" si="30"/>
        <v>8.1751100000000007E-2</v>
      </c>
      <c r="BM46" s="90">
        <f t="shared" si="30"/>
        <v>8.1748000000000015E-2</v>
      </c>
      <c r="BN46" s="90">
        <f t="shared" si="30"/>
        <v>8.1751100000000007E-2</v>
      </c>
      <c r="BO46" s="90">
        <f t="shared" si="30"/>
        <v>8.1748000000000015E-2</v>
      </c>
      <c r="BP46" s="90">
        <f t="shared" si="30"/>
        <v>8.175099999999999E-2</v>
      </c>
      <c r="BQ46" s="90">
        <f t="shared" si="30"/>
        <v>8.175099999999999E-2</v>
      </c>
      <c r="BR46" s="90">
        <f t="shared" si="30"/>
        <v>8.1783800000000004E-2</v>
      </c>
      <c r="BS46" s="90">
        <f t="shared" si="30"/>
        <v>8.230019999999999E-2</v>
      </c>
      <c r="BT46" s="90">
        <f t="shared" si="30"/>
        <v>8.2444100000000006E-2</v>
      </c>
      <c r="BU46" s="90">
        <f t="shared" si="30"/>
        <v>8.2447300000000001E-2</v>
      </c>
    </row>
    <row r="48" spans="2:73">
      <c r="B48" s="88" t="s">
        <v>69</v>
      </c>
      <c r="E48" s="113" t="s">
        <v>94</v>
      </c>
      <c r="F48" s="113" t="s">
        <v>92</v>
      </c>
      <c r="G48" s="113" t="s">
        <v>93</v>
      </c>
      <c r="H48" s="113" t="s">
        <v>91</v>
      </c>
      <c r="I48" s="113" t="s">
        <v>97</v>
      </c>
    </row>
    <row r="49" spans="2:74">
      <c r="E49" s="125">
        <v>1</v>
      </c>
      <c r="F49" s="125">
        <v>1</v>
      </c>
      <c r="G49" s="126">
        <v>3</v>
      </c>
      <c r="H49" s="28">
        <v>20</v>
      </c>
      <c r="I49" s="29">
        <v>0.03</v>
      </c>
    </row>
    <row r="51" spans="2:74">
      <c r="B51" s="88" t="s">
        <v>70</v>
      </c>
      <c r="E51" s="113" t="s">
        <v>12</v>
      </c>
      <c r="F51" s="113" t="s">
        <v>89</v>
      </c>
      <c r="G51" s="113" t="s">
        <v>90</v>
      </c>
      <c r="H51" s="113" t="s">
        <v>91</v>
      </c>
      <c r="I51" s="113" t="s">
        <v>96</v>
      </c>
      <c r="J51" s="10" t="s">
        <v>0</v>
      </c>
      <c r="K51" s="19" t="s">
        <v>3</v>
      </c>
      <c r="L51" s="10"/>
    </row>
    <row r="52" spans="2:74">
      <c r="B52" s="108" t="s">
        <v>71</v>
      </c>
      <c r="E52" s="44">
        <f t="shared" ref="E52:E58" si="31">$K$8/7</f>
        <v>11428.571428571429</v>
      </c>
      <c r="F52" s="122">
        <f>E49+$G$12</f>
        <v>16</v>
      </c>
      <c r="G52" s="100">
        <f t="shared" ref="G52:G58" si="32">F52+$G$49</f>
        <v>19</v>
      </c>
      <c r="H52" s="127">
        <f t="shared" ref="H52:H58" si="33">$H$49</f>
        <v>20</v>
      </c>
      <c r="I52" s="90">
        <f>$I$49</f>
        <v>0.03</v>
      </c>
      <c r="J52" s="127">
        <f t="shared" ref="J52:J67" si="34">K52/$K$8</f>
        <v>2.8571428571428572</v>
      </c>
      <c r="K52" s="128">
        <f>H52*E52</f>
        <v>228571.42857142858</v>
      </c>
      <c r="L52" s="129"/>
      <c r="M52" s="111">
        <f>(M$3&gt;=$G52)*($K52/12)*(1+$I52)^INT((M$3-$F52)/12)</f>
        <v>0</v>
      </c>
      <c r="N52" s="111">
        <f t="shared" ref="N52:BU56" si="35">(N$3&gt;=$G52)*($K52/12)*(1+$I52)^INT((N$3-$F52)/12)</f>
        <v>0</v>
      </c>
      <c r="O52" s="111">
        <f t="shared" si="35"/>
        <v>0</v>
      </c>
      <c r="P52" s="111">
        <f t="shared" si="35"/>
        <v>0</v>
      </c>
      <c r="Q52" s="111">
        <f t="shared" si="35"/>
        <v>0</v>
      </c>
      <c r="R52" s="111">
        <f t="shared" si="35"/>
        <v>0</v>
      </c>
      <c r="S52" s="111">
        <f t="shared" si="35"/>
        <v>0</v>
      </c>
      <c r="T52" s="111">
        <f t="shared" si="35"/>
        <v>0</v>
      </c>
      <c r="U52" s="111">
        <f t="shared" si="35"/>
        <v>0</v>
      </c>
      <c r="V52" s="111">
        <f t="shared" si="35"/>
        <v>0</v>
      </c>
      <c r="W52" s="111">
        <f t="shared" si="35"/>
        <v>0</v>
      </c>
      <c r="X52" s="111">
        <f t="shared" si="35"/>
        <v>0</v>
      </c>
      <c r="Y52" s="111">
        <f t="shared" si="35"/>
        <v>0</v>
      </c>
      <c r="Z52" s="111">
        <f t="shared" si="35"/>
        <v>0</v>
      </c>
      <c r="AA52" s="111">
        <f t="shared" si="35"/>
        <v>0</v>
      </c>
      <c r="AB52" s="111">
        <f t="shared" si="35"/>
        <v>0</v>
      </c>
      <c r="AC52" s="111">
        <f t="shared" si="35"/>
        <v>0</v>
      </c>
      <c r="AD52" s="111">
        <f t="shared" si="35"/>
        <v>0</v>
      </c>
      <c r="AE52" s="111">
        <f t="shared" si="35"/>
        <v>0</v>
      </c>
      <c r="AF52" s="111">
        <f t="shared" si="35"/>
        <v>19047.61904761905</v>
      </c>
      <c r="AG52" s="111">
        <f t="shared" si="35"/>
        <v>19047.61904761905</v>
      </c>
      <c r="AH52" s="111">
        <f t="shared" si="35"/>
        <v>19047.61904761905</v>
      </c>
      <c r="AI52" s="111">
        <f t="shared" si="35"/>
        <v>19047.61904761905</v>
      </c>
      <c r="AJ52" s="111">
        <f t="shared" si="35"/>
        <v>19047.61904761905</v>
      </c>
      <c r="AK52" s="111">
        <f t="shared" si="35"/>
        <v>19047.61904761905</v>
      </c>
      <c r="AL52" s="111">
        <f t="shared" si="35"/>
        <v>19047.61904761905</v>
      </c>
      <c r="AM52" s="111">
        <f t="shared" si="35"/>
        <v>19047.61904761905</v>
      </c>
      <c r="AN52" s="111">
        <f t="shared" si="35"/>
        <v>19047.61904761905</v>
      </c>
      <c r="AO52" s="111">
        <f t="shared" si="35"/>
        <v>19619.047619047622</v>
      </c>
      <c r="AP52" s="111">
        <f t="shared" si="35"/>
        <v>19619.047619047622</v>
      </c>
      <c r="AQ52" s="111">
        <f t="shared" si="35"/>
        <v>19619.047619047622</v>
      </c>
      <c r="AR52" s="111">
        <f t="shared" si="35"/>
        <v>19619.047619047622</v>
      </c>
      <c r="AS52" s="111">
        <f t="shared" si="35"/>
        <v>19619.047619047622</v>
      </c>
      <c r="AT52" s="111">
        <f t="shared" si="35"/>
        <v>19619.047619047622</v>
      </c>
      <c r="AU52" s="111">
        <f t="shared" si="35"/>
        <v>19619.047619047622</v>
      </c>
      <c r="AV52" s="111">
        <f t="shared" si="35"/>
        <v>19619.047619047622</v>
      </c>
      <c r="AW52" s="111">
        <f t="shared" si="35"/>
        <v>19619.047619047622</v>
      </c>
      <c r="AX52" s="111">
        <f t="shared" si="35"/>
        <v>19619.047619047622</v>
      </c>
      <c r="AY52" s="111">
        <f t="shared" si="35"/>
        <v>19619.047619047622</v>
      </c>
      <c r="AZ52" s="111">
        <f t="shared" si="35"/>
        <v>19619.047619047622</v>
      </c>
      <c r="BA52" s="111">
        <f t="shared" si="35"/>
        <v>20207.61904761905</v>
      </c>
      <c r="BB52" s="111">
        <f t="shared" si="35"/>
        <v>20207.61904761905</v>
      </c>
      <c r="BC52" s="111">
        <f t="shared" si="35"/>
        <v>20207.61904761905</v>
      </c>
      <c r="BD52" s="111">
        <f t="shared" si="35"/>
        <v>20207.61904761905</v>
      </c>
      <c r="BE52" s="111">
        <f t="shared" si="35"/>
        <v>20207.61904761905</v>
      </c>
      <c r="BF52" s="111">
        <f t="shared" si="35"/>
        <v>20207.61904761905</v>
      </c>
      <c r="BG52" s="111">
        <f t="shared" si="35"/>
        <v>20207.61904761905</v>
      </c>
      <c r="BH52" s="111">
        <f t="shared" si="35"/>
        <v>20207.61904761905</v>
      </c>
      <c r="BI52" s="111">
        <f t="shared" si="35"/>
        <v>20207.61904761905</v>
      </c>
      <c r="BJ52" s="111">
        <f t="shared" si="35"/>
        <v>20207.61904761905</v>
      </c>
      <c r="BK52" s="111">
        <f t="shared" si="35"/>
        <v>20207.61904761905</v>
      </c>
      <c r="BL52" s="111">
        <f t="shared" si="35"/>
        <v>20207.61904761905</v>
      </c>
      <c r="BM52" s="111">
        <f t="shared" si="35"/>
        <v>20813.847619047621</v>
      </c>
      <c r="BN52" s="111">
        <f t="shared" si="35"/>
        <v>20813.847619047621</v>
      </c>
      <c r="BO52" s="111">
        <f t="shared" si="35"/>
        <v>20813.847619047621</v>
      </c>
      <c r="BP52" s="111">
        <f t="shared" si="35"/>
        <v>20813.847619047621</v>
      </c>
      <c r="BQ52" s="111">
        <f t="shared" si="35"/>
        <v>20813.847619047621</v>
      </c>
      <c r="BR52" s="111">
        <f t="shared" si="35"/>
        <v>20813.847619047621</v>
      </c>
      <c r="BS52" s="111">
        <f t="shared" si="35"/>
        <v>20813.847619047621</v>
      </c>
      <c r="BT52" s="111">
        <f t="shared" si="35"/>
        <v>20813.847619047621</v>
      </c>
      <c r="BU52" s="111">
        <f t="shared" si="35"/>
        <v>20813.847619047621</v>
      </c>
      <c r="BV52" s="123"/>
    </row>
    <row r="53" spans="2:74">
      <c r="B53" s="108" t="s">
        <v>72</v>
      </c>
      <c r="E53" s="44">
        <f t="shared" si="31"/>
        <v>11428.571428571429</v>
      </c>
      <c r="F53" s="100">
        <f>F52+$F$49</f>
        <v>17</v>
      </c>
      <c r="G53" s="100">
        <f t="shared" si="32"/>
        <v>20</v>
      </c>
      <c r="H53" s="127">
        <f t="shared" si="33"/>
        <v>20</v>
      </c>
      <c r="I53" s="90">
        <f t="shared" ref="I53:I58" si="36">$I$49</f>
        <v>0.03</v>
      </c>
      <c r="J53" s="127">
        <f t="shared" si="34"/>
        <v>2.8571428571428572</v>
      </c>
      <c r="K53" s="128">
        <f t="shared" ref="K53:K58" si="37">H53*E53</f>
        <v>228571.42857142858</v>
      </c>
      <c r="L53" s="129"/>
      <c r="M53" s="111">
        <f t="shared" ref="M53:AB57" si="38">(M$3&gt;=$G53)*($K53/12)*(1+$I53)^INT((M$3-$F53)/12)</f>
        <v>0</v>
      </c>
      <c r="N53" s="111">
        <f t="shared" si="38"/>
        <v>0</v>
      </c>
      <c r="O53" s="111">
        <f t="shared" si="38"/>
        <v>0</v>
      </c>
      <c r="P53" s="111">
        <f t="shared" si="38"/>
        <v>0</v>
      </c>
      <c r="Q53" s="111">
        <f t="shared" si="38"/>
        <v>0</v>
      </c>
      <c r="R53" s="111">
        <f t="shared" si="38"/>
        <v>0</v>
      </c>
      <c r="S53" s="111">
        <f t="shared" si="38"/>
        <v>0</v>
      </c>
      <c r="T53" s="111">
        <f t="shared" si="38"/>
        <v>0</v>
      </c>
      <c r="U53" s="111">
        <f t="shared" si="38"/>
        <v>0</v>
      </c>
      <c r="V53" s="111">
        <f t="shared" si="38"/>
        <v>0</v>
      </c>
      <c r="W53" s="111">
        <f t="shared" si="38"/>
        <v>0</v>
      </c>
      <c r="X53" s="111">
        <f t="shared" si="38"/>
        <v>0</v>
      </c>
      <c r="Y53" s="111">
        <f t="shared" si="38"/>
        <v>0</v>
      </c>
      <c r="Z53" s="111">
        <f t="shared" si="38"/>
        <v>0</v>
      </c>
      <c r="AA53" s="111">
        <f t="shared" si="38"/>
        <v>0</v>
      </c>
      <c r="AB53" s="111">
        <f t="shared" si="38"/>
        <v>0</v>
      </c>
      <c r="AC53" s="111">
        <f t="shared" si="35"/>
        <v>0</v>
      </c>
      <c r="AD53" s="111">
        <f t="shared" si="35"/>
        <v>0</v>
      </c>
      <c r="AE53" s="111">
        <f t="shared" si="35"/>
        <v>0</v>
      </c>
      <c r="AF53" s="111">
        <f t="shared" si="35"/>
        <v>0</v>
      </c>
      <c r="AG53" s="111">
        <f t="shared" si="35"/>
        <v>19047.61904761905</v>
      </c>
      <c r="AH53" s="111">
        <f t="shared" si="35"/>
        <v>19047.61904761905</v>
      </c>
      <c r="AI53" s="111">
        <f t="shared" si="35"/>
        <v>19047.61904761905</v>
      </c>
      <c r="AJ53" s="111">
        <f t="shared" si="35"/>
        <v>19047.61904761905</v>
      </c>
      <c r="AK53" s="111">
        <f t="shared" si="35"/>
        <v>19047.61904761905</v>
      </c>
      <c r="AL53" s="111">
        <f t="shared" si="35"/>
        <v>19047.61904761905</v>
      </c>
      <c r="AM53" s="111">
        <f t="shared" si="35"/>
        <v>19047.61904761905</v>
      </c>
      <c r="AN53" s="111">
        <f t="shared" si="35"/>
        <v>19047.61904761905</v>
      </c>
      <c r="AO53" s="111">
        <f t="shared" si="35"/>
        <v>19047.61904761905</v>
      </c>
      <c r="AP53" s="111">
        <f t="shared" si="35"/>
        <v>19619.047619047622</v>
      </c>
      <c r="AQ53" s="111">
        <f t="shared" si="35"/>
        <v>19619.047619047622</v>
      </c>
      <c r="AR53" s="111">
        <f t="shared" si="35"/>
        <v>19619.047619047622</v>
      </c>
      <c r="AS53" s="111">
        <f t="shared" si="35"/>
        <v>19619.047619047622</v>
      </c>
      <c r="AT53" s="111">
        <f t="shared" si="35"/>
        <v>19619.047619047622</v>
      </c>
      <c r="AU53" s="111">
        <f t="shared" si="35"/>
        <v>19619.047619047622</v>
      </c>
      <c r="AV53" s="111">
        <f t="shared" si="35"/>
        <v>19619.047619047622</v>
      </c>
      <c r="AW53" s="111">
        <f t="shared" si="35"/>
        <v>19619.047619047622</v>
      </c>
      <c r="AX53" s="111">
        <f t="shared" si="35"/>
        <v>19619.047619047622</v>
      </c>
      <c r="AY53" s="111">
        <f t="shared" si="35"/>
        <v>19619.047619047622</v>
      </c>
      <c r="AZ53" s="111">
        <f t="shared" si="35"/>
        <v>19619.047619047622</v>
      </c>
      <c r="BA53" s="111">
        <f t="shared" si="35"/>
        <v>19619.047619047622</v>
      </c>
      <c r="BB53" s="111">
        <f t="shared" si="35"/>
        <v>20207.61904761905</v>
      </c>
      <c r="BC53" s="111">
        <f t="shared" si="35"/>
        <v>20207.61904761905</v>
      </c>
      <c r="BD53" s="111">
        <f t="shared" si="35"/>
        <v>20207.61904761905</v>
      </c>
      <c r="BE53" s="111">
        <f t="shared" si="35"/>
        <v>20207.61904761905</v>
      </c>
      <c r="BF53" s="111">
        <f t="shared" si="35"/>
        <v>20207.61904761905</v>
      </c>
      <c r="BG53" s="111">
        <f t="shared" si="35"/>
        <v>20207.61904761905</v>
      </c>
      <c r="BH53" s="111">
        <f t="shared" si="35"/>
        <v>20207.61904761905</v>
      </c>
      <c r="BI53" s="111">
        <f t="shared" si="35"/>
        <v>20207.61904761905</v>
      </c>
      <c r="BJ53" s="111">
        <f t="shared" si="35"/>
        <v>20207.61904761905</v>
      </c>
      <c r="BK53" s="111">
        <f t="shared" si="35"/>
        <v>20207.61904761905</v>
      </c>
      <c r="BL53" s="111">
        <f t="shared" si="35"/>
        <v>20207.61904761905</v>
      </c>
      <c r="BM53" s="111">
        <f t="shared" si="35"/>
        <v>20207.61904761905</v>
      </c>
      <c r="BN53" s="111">
        <f t="shared" si="35"/>
        <v>20813.847619047621</v>
      </c>
      <c r="BO53" s="111">
        <f t="shared" si="35"/>
        <v>20813.847619047621</v>
      </c>
      <c r="BP53" s="111">
        <f t="shared" si="35"/>
        <v>20813.847619047621</v>
      </c>
      <c r="BQ53" s="111">
        <f t="shared" si="35"/>
        <v>20813.847619047621</v>
      </c>
      <c r="BR53" s="111">
        <f t="shared" si="35"/>
        <v>20813.847619047621</v>
      </c>
      <c r="BS53" s="111">
        <f t="shared" si="35"/>
        <v>20813.847619047621</v>
      </c>
      <c r="BT53" s="111">
        <f t="shared" si="35"/>
        <v>20813.847619047621</v>
      </c>
      <c r="BU53" s="111">
        <f t="shared" si="35"/>
        <v>20813.847619047621</v>
      </c>
    </row>
    <row r="54" spans="2:74">
      <c r="B54" s="108" t="s">
        <v>73</v>
      </c>
      <c r="E54" s="44">
        <f t="shared" si="31"/>
        <v>11428.571428571429</v>
      </c>
      <c r="F54" s="100">
        <f t="shared" ref="F54:F58" si="39">F53+$F$49</f>
        <v>18</v>
      </c>
      <c r="G54" s="100">
        <f t="shared" si="32"/>
        <v>21</v>
      </c>
      <c r="H54" s="127">
        <f t="shared" si="33"/>
        <v>20</v>
      </c>
      <c r="I54" s="90">
        <f t="shared" si="36"/>
        <v>0.03</v>
      </c>
      <c r="J54" s="127">
        <f t="shared" si="34"/>
        <v>2.8571428571428572</v>
      </c>
      <c r="K54" s="128">
        <f t="shared" si="37"/>
        <v>228571.42857142858</v>
      </c>
      <c r="L54" s="129"/>
      <c r="M54" s="111">
        <f t="shared" si="38"/>
        <v>0</v>
      </c>
      <c r="N54" s="111">
        <f t="shared" si="35"/>
        <v>0</v>
      </c>
      <c r="O54" s="111">
        <f t="shared" si="35"/>
        <v>0</v>
      </c>
      <c r="P54" s="111">
        <f t="shared" si="35"/>
        <v>0</v>
      </c>
      <c r="Q54" s="111">
        <f t="shared" si="35"/>
        <v>0</v>
      </c>
      <c r="R54" s="111">
        <f t="shared" si="35"/>
        <v>0</v>
      </c>
      <c r="S54" s="111">
        <f t="shared" si="35"/>
        <v>0</v>
      </c>
      <c r="T54" s="111">
        <f t="shared" si="35"/>
        <v>0</v>
      </c>
      <c r="U54" s="111">
        <f t="shared" si="35"/>
        <v>0</v>
      </c>
      <c r="V54" s="111">
        <f t="shared" si="35"/>
        <v>0</v>
      </c>
      <c r="W54" s="111">
        <f t="shared" si="35"/>
        <v>0</v>
      </c>
      <c r="X54" s="111">
        <f t="shared" si="35"/>
        <v>0</v>
      </c>
      <c r="Y54" s="111">
        <f t="shared" si="35"/>
        <v>0</v>
      </c>
      <c r="Z54" s="111">
        <f t="shared" si="35"/>
        <v>0</v>
      </c>
      <c r="AA54" s="111">
        <f t="shared" si="35"/>
        <v>0</v>
      </c>
      <c r="AB54" s="111">
        <f t="shared" si="35"/>
        <v>0</v>
      </c>
      <c r="AC54" s="111">
        <f t="shared" si="35"/>
        <v>0</v>
      </c>
      <c r="AD54" s="111">
        <f t="shared" si="35"/>
        <v>0</v>
      </c>
      <c r="AE54" s="111">
        <f t="shared" si="35"/>
        <v>0</v>
      </c>
      <c r="AF54" s="111">
        <f t="shared" si="35"/>
        <v>0</v>
      </c>
      <c r="AG54" s="111">
        <f t="shared" si="35"/>
        <v>0</v>
      </c>
      <c r="AH54" s="111">
        <f t="shared" si="35"/>
        <v>19047.61904761905</v>
      </c>
      <c r="AI54" s="111">
        <f t="shared" si="35"/>
        <v>19047.61904761905</v>
      </c>
      <c r="AJ54" s="111">
        <f t="shared" si="35"/>
        <v>19047.61904761905</v>
      </c>
      <c r="AK54" s="111">
        <f t="shared" si="35"/>
        <v>19047.61904761905</v>
      </c>
      <c r="AL54" s="111">
        <f t="shared" si="35"/>
        <v>19047.61904761905</v>
      </c>
      <c r="AM54" s="111">
        <f t="shared" si="35"/>
        <v>19047.61904761905</v>
      </c>
      <c r="AN54" s="111">
        <f t="shared" si="35"/>
        <v>19047.61904761905</v>
      </c>
      <c r="AO54" s="111">
        <f t="shared" si="35"/>
        <v>19047.61904761905</v>
      </c>
      <c r="AP54" s="111">
        <f t="shared" si="35"/>
        <v>19047.61904761905</v>
      </c>
      <c r="AQ54" s="111">
        <f t="shared" si="35"/>
        <v>19619.047619047622</v>
      </c>
      <c r="AR54" s="111">
        <f t="shared" si="35"/>
        <v>19619.047619047622</v>
      </c>
      <c r="AS54" s="111">
        <f t="shared" si="35"/>
        <v>19619.047619047622</v>
      </c>
      <c r="AT54" s="111">
        <f t="shared" si="35"/>
        <v>19619.047619047622</v>
      </c>
      <c r="AU54" s="111">
        <f t="shared" si="35"/>
        <v>19619.047619047622</v>
      </c>
      <c r="AV54" s="111">
        <f t="shared" si="35"/>
        <v>19619.047619047622</v>
      </c>
      <c r="AW54" s="111">
        <f t="shared" si="35"/>
        <v>19619.047619047622</v>
      </c>
      <c r="AX54" s="111">
        <f t="shared" si="35"/>
        <v>19619.047619047622</v>
      </c>
      <c r="AY54" s="111">
        <f t="shared" si="35"/>
        <v>19619.047619047622</v>
      </c>
      <c r="AZ54" s="111">
        <f t="shared" si="35"/>
        <v>19619.047619047622</v>
      </c>
      <c r="BA54" s="111">
        <f t="shared" si="35"/>
        <v>19619.047619047622</v>
      </c>
      <c r="BB54" s="111">
        <f t="shared" si="35"/>
        <v>19619.047619047622</v>
      </c>
      <c r="BC54" s="111">
        <f t="shared" si="35"/>
        <v>20207.61904761905</v>
      </c>
      <c r="BD54" s="111">
        <f t="shared" si="35"/>
        <v>20207.61904761905</v>
      </c>
      <c r="BE54" s="111">
        <f t="shared" si="35"/>
        <v>20207.61904761905</v>
      </c>
      <c r="BF54" s="111">
        <f t="shared" si="35"/>
        <v>20207.61904761905</v>
      </c>
      <c r="BG54" s="111">
        <f t="shared" si="35"/>
        <v>20207.61904761905</v>
      </c>
      <c r="BH54" s="111">
        <f t="shared" si="35"/>
        <v>20207.61904761905</v>
      </c>
      <c r="BI54" s="111">
        <f t="shared" si="35"/>
        <v>20207.61904761905</v>
      </c>
      <c r="BJ54" s="111">
        <f t="shared" si="35"/>
        <v>20207.61904761905</v>
      </c>
      <c r="BK54" s="111">
        <f t="shared" si="35"/>
        <v>20207.61904761905</v>
      </c>
      <c r="BL54" s="111">
        <f t="shared" si="35"/>
        <v>20207.61904761905</v>
      </c>
      <c r="BM54" s="111">
        <f t="shared" si="35"/>
        <v>20207.61904761905</v>
      </c>
      <c r="BN54" s="111">
        <f t="shared" si="35"/>
        <v>20207.61904761905</v>
      </c>
      <c r="BO54" s="111">
        <f t="shared" si="35"/>
        <v>20813.847619047621</v>
      </c>
      <c r="BP54" s="111">
        <f t="shared" si="35"/>
        <v>20813.847619047621</v>
      </c>
      <c r="BQ54" s="111">
        <f t="shared" si="35"/>
        <v>20813.847619047621</v>
      </c>
      <c r="BR54" s="111">
        <f t="shared" si="35"/>
        <v>20813.847619047621</v>
      </c>
      <c r="BS54" s="111">
        <f t="shared" si="35"/>
        <v>20813.847619047621</v>
      </c>
      <c r="BT54" s="111">
        <f t="shared" si="35"/>
        <v>20813.847619047621</v>
      </c>
      <c r="BU54" s="111">
        <f t="shared" si="35"/>
        <v>20813.847619047621</v>
      </c>
    </row>
    <row r="55" spans="2:74">
      <c r="B55" s="108" t="s">
        <v>74</v>
      </c>
      <c r="E55" s="44">
        <f t="shared" si="31"/>
        <v>11428.571428571429</v>
      </c>
      <c r="F55" s="100">
        <f t="shared" si="39"/>
        <v>19</v>
      </c>
      <c r="G55" s="100">
        <f t="shared" si="32"/>
        <v>22</v>
      </c>
      <c r="H55" s="127">
        <f t="shared" si="33"/>
        <v>20</v>
      </c>
      <c r="I55" s="90">
        <f t="shared" si="36"/>
        <v>0.03</v>
      </c>
      <c r="J55" s="127">
        <f t="shared" si="34"/>
        <v>2.8571428571428572</v>
      </c>
      <c r="K55" s="128">
        <f t="shared" si="37"/>
        <v>228571.42857142858</v>
      </c>
      <c r="L55" s="129"/>
      <c r="M55" s="111">
        <f>(M$3&gt;=$G55)*($K55/12)*(1+$I55)^INT((M$3-$F55)/12)</f>
        <v>0</v>
      </c>
      <c r="N55" s="111">
        <f t="shared" si="35"/>
        <v>0</v>
      </c>
      <c r="O55" s="111">
        <f t="shared" si="35"/>
        <v>0</v>
      </c>
      <c r="P55" s="111">
        <f t="shared" si="35"/>
        <v>0</v>
      </c>
      <c r="Q55" s="111">
        <f t="shared" si="35"/>
        <v>0</v>
      </c>
      <c r="R55" s="111">
        <f t="shared" si="35"/>
        <v>0</v>
      </c>
      <c r="S55" s="111">
        <f t="shared" si="35"/>
        <v>0</v>
      </c>
      <c r="T55" s="111">
        <f t="shared" si="35"/>
        <v>0</v>
      </c>
      <c r="U55" s="111">
        <f t="shared" si="35"/>
        <v>0</v>
      </c>
      <c r="V55" s="111">
        <f t="shared" si="35"/>
        <v>0</v>
      </c>
      <c r="W55" s="111">
        <f t="shared" si="35"/>
        <v>0</v>
      </c>
      <c r="X55" s="111">
        <f t="shared" si="35"/>
        <v>0</v>
      </c>
      <c r="Y55" s="111">
        <f t="shared" si="35"/>
        <v>0</v>
      </c>
      <c r="Z55" s="111">
        <f t="shared" si="35"/>
        <v>0</v>
      </c>
      <c r="AA55" s="111">
        <f t="shared" si="35"/>
        <v>0</v>
      </c>
      <c r="AB55" s="111">
        <f t="shared" si="35"/>
        <v>0</v>
      </c>
      <c r="AC55" s="111">
        <f t="shared" si="35"/>
        <v>0</v>
      </c>
      <c r="AD55" s="111">
        <f t="shared" si="35"/>
        <v>0</v>
      </c>
      <c r="AE55" s="111">
        <f t="shared" si="35"/>
        <v>0</v>
      </c>
      <c r="AF55" s="111">
        <f t="shared" si="35"/>
        <v>0</v>
      </c>
      <c r="AG55" s="111">
        <f t="shared" si="35"/>
        <v>0</v>
      </c>
      <c r="AH55" s="111">
        <f t="shared" si="35"/>
        <v>0</v>
      </c>
      <c r="AI55" s="111">
        <f t="shared" si="35"/>
        <v>19047.61904761905</v>
      </c>
      <c r="AJ55" s="111">
        <f t="shared" si="35"/>
        <v>19047.61904761905</v>
      </c>
      <c r="AK55" s="111">
        <f t="shared" si="35"/>
        <v>19047.61904761905</v>
      </c>
      <c r="AL55" s="111">
        <f t="shared" si="35"/>
        <v>19047.61904761905</v>
      </c>
      <c r="AM55" s="111">
        <f t="shared" si="35"/>
        <v>19047.61904761905</v>
      </c>
      <c r="AN55" s="111">
        <f t="shared" si="35"/>
        <v>19047.61904761905</v>
      </c>
      <c r="AO55" s="111">
        <f t="shared" si="35"/>
        <v>19047.61904761905</v>
      </c>
      <c r="AP55" s="111">
        <f t="shared" si="35"/>
        <v>19047.61904761905</v>
      </c>
      <c r="AQ55" s="111">
        <f t="shared" si="35"/>
        <v>19047.61904761905</v>
      </c>
      <c r="AR55" s="111">
        <f t="shared" si="35"/>
        <v>19619.047619047622</v>
      </c>
      <c r="AS55" s="111">
        <f t="shared" si="35"/>
        <v>19619.047619047622</v>
      </c>
      <c r="AT55" s="111">
        <f t="shared" si="35"/>
        <v>19619.047619047622</v>
      </c>
      <c r="AU55" s="111">
        <f t="shared" si="35"/>
        <v>19619.047619047622</v>
      </c>
      <c r="AV55" s="111">
        <f t="shared" si="35"/>
        <v>19619.047619047622</v>
      </c>
      <c r="AW55" s="111">
        <f t="shared" si="35"/>
        <v>19619.047619047622</v>
      </c>
      <c r="AX55" s="111">
        <f t="shared" si="35"/>
        <v>19619.047619047622</v>
      </c>
      <c r="AY55" s="111">
        <f t="shared" si="35"/>
        <v>19619.047619047622</v>
      </c>
      <c r="AZ55" s="111">
        <f t="shared" si="35"/>
        <v>19619.047619047622</v>
      </c>
      <c r="BA55" s="111">
        <f t="shared" si="35"/>
        <v>19619.047619047622</v>
      </c>
      <c r="BB55" s="111">
        <f t="shared" si="35"/>
        <v>19619.047619047622</v>
      </c>
      <c r="BC55" s="111">
        <f t="shared" si="35"/>
        <v>19619.047619047622</v>
      </c>
      <c r="BD55" s="111">
        <f t="shared" si="35"/>
        <v>20207.61904761905</v>
      </c>
      <c r="BE55" s="111">
        <f t="shared" si="35"/>
        <v>20207.61904761905</v>
      </c>
      <c r="BF55" s="111">
        <f t="shared" si="35"/>
        <v>20207.61904761905</v>
      </c>
      <c r="BG55" s="111">
        <f t="shared" si="35"/>
        <v>20207.61904761905</v>
      </c>
      <c r="BH55" s="111">
        <f t="shared" si="35"/>
        <v>20207.61904761905</v>
      </c>
      <c r="BI55" s="111">
        <f t="shared" si="35"/>
        <v>20207.61904761905</v>
      </c>
      <c r="BJ55" s="111">
        <f t="shared" si="35"/>
        <v>20207.61904761905</v>
      </c>
      <c r="BK55" s="111">
        <f t="shared" si="35"/>
        <v>20207.61904761905</v>
      </c>
      <c r="BL55" s="111">
        <f t="shared" si="35"/>
        <v>20207.61904761905</v>
      </c>
      <c r="BM55" s="111">
        <f t="shared" si="35"/>
        <v>20207.61904761905</v>
      </c>
      <c r="BN55" s="111">
        <f t="shared" si="35"/>
        <v>20207.61904761905</v>
      </c>
      <c r="BO55" s="111">
        <f t="shared" si="35"/>
        <v>20207.61904761905</v>
      </c>
      <c r="BP55" s="111">
        <f t="shared" si="35"/>
        <v>20813.847619047621</v>
      </c>
      <c r="BQ55" s="111">
        <f t="shared" si="35"/>
        <v>20813.847619047621</v>
      </c>
      <c r="BR55" s="111">
        <f t="shared" si="35"/>
        <v>20813.847619047621</v>
      </c>
      <c r="BS55" s="111">
        <f t="shared" si="35"/>
        <v>20813.847619047621</v>
      </c>
      <c r="BT55" s="111">
        <f t="shared" si="35"/>
        <v>20813.847619047621</v>
      </c>
      <c r="BU55" s="111">
        <f t="shared" si="35"/>
        <v>20813.847619047621</v>
      </c>
    </row>
    <row r="56" spans="2:74">
      <c r="B56" s="108" t="s">
        <v>75</v>
      </c>
      <c r="E56" s="44">
        <f t="shared" si="31"/>
        <v>11428.571428571429</v>
      </c>
      <c r="F56" s="100">
        <f t="shared" si="39"/>
        <v>20</v>
      </c>
      <c r="G56" s="100">
        <f t="shared" si="32"/>
        <v>23</v>
      </c>
      <c r="H56" s="127">
        <f t="shared" si="33"/>
        <v>20</v>
      </c>
      <c r="I56" s="90">
        <f t="shared" si="36"/>
        <v>0.03</v>
      </c>
      <c r="J56" s="127">
        <f t="shared" si="34"/>
        <v>2.8571428571428572</v>
      </c>
      <c r="K56" s="128">
        <f t="shared" si="37"/>
        <v>228571.42857142858</v>
      </c>
      <c r="L56" s="129"/>
      <c r="M56" s="111">
        <f>(M$3&gt;=$G56)*($K56/12)*(1+$I56)^INT((M$3-$F56)/12)</f>
        <v>0</v>
      </c>
      <c r="N56" s="111">
        <f t="shared" si="35"/>
        <v>0</v>
      </c>
      <c r="O56" s="111">
        <f t="shared" si="35"/>
        <v>0</v>
      </c>
      <c r="P56" s="111">
        <f t="shared" si="35"/>
        <v>0</v>
      </c>
      <c r="Q56" s="111">
        <f t="shared" si="35"/>
        <v>0</v>
      </c>
      <c r="R56" s="111">
        <f t="shared" si="35"/>
        <v>0</v>
      </c>
      <c r="S56" s="111">
        <f t="shared" si="35"/>
        <v>0</v>
      </c>
      <c r="T56" s="111">
        <f t="shared" si="35"/>
        <v>0</v>
      </c>
      <c r="U56" s="111">
        <f t="shared" si="35"/>
        <v>0</v>
      </c>
      <c r="V56" s="111">
        <f t="shared" si="35"/>
        <v>0</v>
      </c>
      <c r="W56" s="111">
        <f t="shared" si="35"/>
        <v>0</v>
      </c>
      <c r="X56" s="111">
        <f t="shared" si="35"/>
        <v>0</v>
      </c>
      <c r="Y56" s="111">
        <f t="shared" si="35"/>
        <v>0</v>
      </c>
      <c r="Z56" s="111">
        <f t="shared" si="35"/>
        <v>0</v>
      </c>
      <c r="AA56" s="111">
        <f t="shared" si="35"/>
        <v>0</v>
      </c>
      <c r="AB56" s="111">
        <f t="shared" si="35"/>
        <v>0</v>
      </c>
      <c r="AC56" s="111">
        <f t="shared" si="35"/>
        <v>0</v>
      </c>
      <c r="AD56" s="111">
        <f t="shared" si="35"/>
        <v>0</v>
      </c>
      <c r="AE56" s="111">
        <f t="shared" si="35"/>
        <v>0</v>
      </c>
      <c r="AF56" s="111">
        <f t="shared" si="35"/>
        <v>0</v>
      </c>
      <c r="AG56" s="111">
        <f t="shared" si="35"/>
        <v>0</v>
      </c>
      <c r="AH56" s="111">
        <f t="shared" si="35"/>
        <v>0</v>
      </c>
      <c r="AI56" s="111">
        <f t="shared" si="35"/>
        <v>0</v>
      </c>
      <c r="AJ56" s="111">
        <f t="shared" si="35"/>
        <v>19047.61904761905</v>
      </c>
      <c r="AK56" s="111">
        <f t="shared" si="35"/>
        <v>19047.61904761905</v>
      </c>
      <c r="AL56" s="111">
        <f t="shared" si="35"/>
        <v>19047.61904761905</v>
      </c>
      <c r="AM56" s="111">
        <f t="shared" si="35"/>
        <v>19047.61904761905</v>
      </c>
      <c r="AN56" s="111">
        <f t="shared" si="35"/>
        <v>19047.61904761905</v>
      </c>
      <c r="AO56" s="111">
        <f t="shared" si="35"/>
        <v>19047.61904761905</v>
      </c>
      <c r="AP56" s="111">
        <f t="shared" si="35"/>
        <v>19047.61904761905</v>
      </c>
      <c r="AQ56" s="111">
        <f t="shared" si="35"/>
        <v>19047.61904761905</v>
      </c>
      <c r="AR56" s="111">
        <f t="shared" ref="N56:BU58" si="40">(AR$3&gt;=$G56)*($K56/12)*(1+$I56)^INT((AR$3-$F56)/12)</f>
        <v>19047.61904761905</v>
      </c>
      <c r="AS56" s="111">
        <f t="shared" si="40"/>
        <v>19619.047619047622</v>
      </c>
      <c r="AT56" s="111">
        <f t="shared" si="40"/>
        <v>19619.047619047622</v>
      </c>
      <c r="AU56" s="111">
        <f t="shared" si="40"/>
        <v>19619.047619047622</v>
      </c>
      <c r="AV56" s="111">
        <f t="shared" si="40"/>
        <v>19619.047619047622</v>
      </c>
      <c r="AW56" s="111">
        <f t="shared" si="40"/>
        <v>19619.047619047622</v>
      </c>
      <c r="AX56" s="111">
        <f t="shared" si="40"/>
        <v>19619.047619047622</v>
      </c>
      <c r="AY56" s="111">
        <f t="shared" si="40"/>
        <v>19619.047619047622</v>
      </c>
      <c r="AZ56" s="111">
        <f t="shared" si="40"/>
        <v>19619.047619047622</v>
      </c>
      <c r="BA56" s="111">
        <f t="shared" si="40"/>
        <v>19619.047619047622</v>
      </c>
      <c r="BB56" s="111">
        <f t="shared" si="40"/>
        <v>19619.047619047622</v>
      </c>
      <c r="BC56" s="111">
        <f t="shared" si="40"/>
        <v>19619.047619047622</v>
      </c>
      <c r="BD56" s="111">
        <f t="shared" si="40"/>
        <v>19619.047619047622</v>
      </c>
      <c r="BE56" s="111">
        <f t="shared" si="40"/>
        <v>20207.61904761905</v>
      </c>
      <c r="BF56" s="111">
        <f t="shared" si="40"/>
        <v>20207.61904761905</v>
      </c>
      <c r="BG56" s="111">
        <f t="shared" si="40"/>
        <v>20207.61904761905</v>
      </c>
      <c r="BH56" s="111">
        <f t="shared" si="40"/>
        <v>20207.61904761905</v>
      </c>
      <c r="BI56" s="111">
        <f t="shared" si="40"/>
        <v>20207.61904761905</v>
      </c>
      <c r="BJ56" s="111">
        <f t="shared" si="40"/>
        <v>20207.61904761905</v>
      </c>
      <c r="BK56" s="111">
        <f t="shared" si="40"/>
        <v>20207.61904761905</v>
      </c>
      <c r="BL56" s="111">
        <f t="shared" si="40"/>
        <v>20207.61904761905</v>
      </c>
      <c r="BM56" s="111">
        <f t="shared" si="40"/>
        <v>20207.61904761905</v>
      </c>
      <c r="BN56" s="111">
        <f t="shared" si="40"/>
        <v>20207.61904761905</v>
      </c>
      <c r="BO56" s="111">
        <f t="shared" si="40"/>
        <v>20207.61904761905</v>
      </c>
      <c r="BP56" s="111">
        <f t="shared" si="40"/>
        <v>20207.61904761905</v>
      </c>
      <c r="BQ56" s="111">
        <f t="shared" si="40"/>
        <v>20813.847619047621</v>
      </c>
      <c r="BR56" s="111">
        <f t="shared" si="40"/>
        <v>20813.847619047621</v>
      </c>
      <c r="BS56" s="111">
        <f t="shared" si="40"/>
        <v>20813.847619047621</v>
      </c>
      <c r="BT56" s="111">
        <f t="shared" si="40"/>
        <v>20813.847619047621</v>
      </c>
      <c r="BU56" s="111">
        <f t="shared" si="40"/>
        <v>20813.847619047621</v>
      </c>
    </row>
    <row r="57" spans="2:74">
      <c r="B57" s="108" t="s">
        <v>76</v>
      </c>
      <c r="E57" s="44">
        <f t="shared" si="31"/>
        <v>11428.571428571429</v>
      </c>
      <c r="F57" s="100">
        <f t="shared" si="39"/>
        <v>21</v>
      </c>
      <c r="G57" s="100">
        <f t="shared" si="32"/>
        <v>24</v>
      </c>
      <c r="H57" s="127">
        <f t="shared" si="33"/>
        <v>20</v>
      </c>
      <c r="I57" s="90">
        <f t="shared" si="36"/>
        <v>0.03</v>
      </c>
      <c r="J57" s="127">
        <f t="shared" si="34"/>
        <v>2.8571428571428572</v>
      </c>
      <c r="K57" s="128">
        <f t="shared" si="37"/>
        <v>228571.42857142858</v>
      </c>
      <c r="L57" s="129"/>
      <c r="M57" s="111">
        <f t="shared" si="38"/>
        <v>0</v>
      </c>
      <c r="N57" s="111">
        <f t="shared" si="40"/>
        <v>0</v>
      </c>
      <c r="O57" s="111">
        <f t="shared" si="40"/>
        <v>0</v>
      </c>
      <c r="P57" s="111">
        <f t="shared" si="40"/>
        <v>0</v>
      </c>
      <c r="Q57" s="111">
        <f t="shared" si="40"/>
        <v>0</v>
      </c>
      <c r="R57" s="111">
        <f t="shared" si="40"/>
        <v>0</v>
      </c>
      <c r="S57" s="111">
        <f t="shared" si="40"/>
        <v>0</v>
      </c>
      <c r="T57" s="111">
        <f t="shared" si="40"/>
        <v>0</v>
      </c>
      <c r="U57" s="111">
        <f t="shared" si="40"/>
        <v>0</v>
      </c>
      <c r="V57" s="111">
        <f t="shared" si="40"/>
        <v>0</v>
      </c>
      <c r="W57" s="111">
        <f t="shared" si="40"/>
        <v>0</v>
      </c>
      <c r="X57" s="111">
        <f t="shared" si="40"/>
        <v>0</v>
      </c>
      <c r="Y57" s="111">
        <f t="shared" si="40"/>
        <v>0</v>
      </c>
      <c r="Z57" s="111">
        <f t="shared" si="40"/>
        <v>0</v>
      </c>
      <c r="AA57" s="111">
        <f t="shared" si="40"/>
        <v>0</v>
      </c>
      <c r="AB57" s="111">
        <f t="shared" si="40"/>
        <v>0</v>
      </c>
      <c r="AC57" s="111">
        <f t="shared" si="40"/>
        <v>0</v>
      </c>
      <c r="AD57" s="111">
        <f t="shared" si="40"/>
        <v>0</v>
      </c>
      <c r="AE57" s="111">
        <f t="shared" si="40"/>
        <v>0</v>
      </c>
      <c r="AF57" s="111">
        <f t="shared" si="40"/>
        <v>0</v>
      </c>
      <c r="AG57" s="111">
        <f t="shared" si="40"/>
        <v>0</v>
      </c>
      <c r="AH57" s="111">
        <f t="shared" si="40"/>
        <v>0</v>
      </c>
      <c r="AI57" s="111">
        <f t="shared" si="40"/>
        <v>0</v>
      </c>
      <c r="AJ57" s="111">
        <f t="shared" si="40"/>
        <v>0</v>
      </c>
      <c r="AK57" s="111">
        <f t="shared" si="40"/>
        <v>19047.61904761905</v>
      </c>
      <c r="AL57" s="111">
        <f t="shared" si="40"/>
        <v>19047.61904761905</v>
      </c>
      <c r="AM57" s="111">
        <f t="shared" si="40"/>
        <v>19047.61904761905</v>
      </c>
      <c r="AN57" s="111">
        <f t="shared" si="40"/>
        <v>19047.61904761905</v>
      </c>
      <c r="AO57" s="111">
        <f t="shared" si="40"/>
        <v>19047.61904761905</v>
      </c>
      <c r="AP57" s="111">
        <f t="shared" si="40"/>
        <v>19047.61904761905</v>
      </c>
      <c r="AQ57" s="111">
        <f t="shared" si="40"/>
        <v>19047.61904761905</v>
      </c>
      <c r="AR57" s="111">
        <f t="shared" si="40"/>
        <v>19047.61904761905</v>
      </c>
      <c r="AS57" s="111">
        <f t="shared" si="40"/>
        <v>19047.61904761905</v>
      </c>
      <c r="AT57" s="111">
        <f t="shared" si="40"/>
        <v>19619.047619047622</v>
      </c>
      <c r="AU57" s="111">
        <f t="shared" si="40"/>
        <v>19619.047619047622</v>
      </c>
      <c r="AV57" s="111">
        <f t="shared" si="40"/>
        <v>19619.047619047622</v>
      </c>
      <c r="AW57" s="111">
        <f t="shared" si="40"/>
        <v>19619.047619047622</v>
      </c>
      <c r="AX57" s="111">
        <f t="shared" si="40"/>
        <v>19619.047619047622</v>
      </c>
      <c r="AY57" s="111">
        <f t="shared" si="40"/>
        <v>19619.047619047622</v>
      </c>
      <c r="AZ57" s="111">
        <f t="shared" si="40"/>
        <v>19619.047619047622</v>
      </c>
      <c r="BA57" s="111">
        <f t="shared" si="40"/>
        <v>19619.047619047622</v>
      </c>
      <c r="BB57" s="111">
        <f t="shared" si="40"/>
        <v>19619.047619047622</v>
      </c>
      <c r="BC57" s="111">
        <f t="shared" si="40"/>
        <v>19619.047619047622</v>
      </c>
      <c r="BD57" s="111">
        <f t="shared" si="40"/>
        <v>19619.047619047622</v>
      </c>
      <c r="BE57" s="111">
        <f t="shared" si="40"/>
        <v>19619.047619047622</v>
      </c>
      <c r="BF57" s="111">
        <f t="shared" si="40"/>
        <v>20207.61904761905</v>
      </c>
      <c r="BG57" s="111">
        <f t="shared" si="40"/>
        <v>20207.61904761905</v>
      </c>
      <c r="BH57" s="111">
        <f t="shared" si="40"/>
        <v>20207.61904761905</v>
      </c>
      <c r="BI57" s="111">
        <f t="shared" si="40"/>
        <v>20207.61904761905</v>
      </c>
      <c r="BJ57" s="111">
        <f t="shared" si="40"/>
        <v>20207.61904761905</v>
      </c>
      <c r="BK57" s="111">
        <f t="shared" si="40"/>
        <v>20207.61904761905</v>
      </c>
      <c r="BL57" s="111">
        <f t="shared" si="40"/>
        <v>20207.61904761905</v>
      </c>
      <c r="BM57" s="111">
        <f t="shared" si="40"/>
        <v>20207.61904761905</v>
      </c>
      <c r="BN57" s="111">
        <f t="shared" si="40"/>
        <v>20207.61904761905</v>
      </c>
      <c r="BO57" s="111">
        <f t="shared" si="40"/>
        <v>20207.61904761905</v>
      </c>
      <c r="BP57" s="111">
        <f t="shared" si="40"/>
        <v>20207.61904761905</v>
      </c>
      <c r="BQ57" s="111">
        <f t="shared" si="40"/>
        <v>20207.61904761905</v>
      </c>
      <c r="BR57" s="111">
        <f t="shared" si="40"/>
        <v>20813.847619047621</v>
      </c>
      <c r="BS57" s="111">
        <f t="shared" si="40"/>
        <v>20813.847619047621</v>
      </c>
      <c r="BT57" s="111">
        <f t="shared" si="40"/>
        <v>20813.847619047621</v>
      </c>
      <c r="BU57" s="111">
        <f t="shared" si="40"/>
        <v>20813.847619047621</v>
      </c>
    </row>
    <row r="58" spans="2:74" ht="17.25">
      <c r="B58" s="108" t="s">
        <v>77</v>
      </c>
      <c r="E58" s="45">
        <f t="shared" si="31"/>
        <v>11428.571428571429</v>
      </c>
      <c r="F58" s="30">
        <f t="shared" si="39"/>
        <v>22</v>
      </c>
      <c r="G58" s="30">
        <f t="shared" si="32"/>
        <v>25</v>
      </c>
      <c r="H58" s="31">
        <f t="shared" si="33"/>
        <v>20</v>
      </c>
      <c r="I58" s="32">
        <f t="shared" si="36"/>
        <v>0.03</v>
      </c>
      <c r="J58" s="127">
        <f t="shared" si="34"/>
        <v>2.8571428571428572</v>
      </c>
      <c r="K58" s="20">
        <f t="shared" si="37"/>
        <v>228571.42857142858</v>
      </c>
      <c r="L58" s="11"/>
      <c r="M58" s="14">
        <f>(M$3&gt;=$G58)*($K58/12)*(1+$I58)^INT((M$3-$F58)/12)</f>
        <v>0</v>
      </c>
      <c r="N58" s="14">
        <f t="shared" si="40"/>
        <v>0</v>
      </c>
      <c r="O58" s="14">
        <f t="shared" si="40"/>
        <v>0</v>
      </c>
      <c r="P58" s="14">
        <f t="shared" si="40"/>
        <v>0</v>
      </c>
      <c r="Q58" s="14">
        <f t="shared" si="40"/>
        <v>0</v>
      </c>
      <c r="R58" s="14">
        <f t="shared" si="40"/>
        <v>0</v>
      </c>
      <c r="S58" s="14">
        <f t="shared" si="40"/>
        <v>0</v>
      </c>
      <c r="T58" s="14">
        <f t="shared" si="40"/>
        <v>0</v>
      </c>
      <c r="U58" s="14">
        <f t="shared" si="40"/>
        <v>0</v>
      </c>
      <c r="V58" s="14">
        <f t="shared" si="40"/>
        <v>0</v>
      </c>
      <c r="W58" s="14">
        <f t="shared" si="40"/>
        <v>0</v>
      </c>
      <c r="X58" s="14">
        <f t="shared" si="40"/>
        <v>0</v>
      </c>
      <c r="Y58" s="14">
        <f t="shared" si="40"/>
        <v>0</v>
      </c>
      <c r="Z58" s="14">
        <f t="shared" si="40"/>
        <v>0</v>
      </c>
      <c r="AA58" s="14">
        <f t="shared" si="40"/>
        <v>0</v>
      </c>
      <c r="AB58" s="14">
        <f t="shared" si="40"/>
        <v>0</v>
      </c>
      <c r="AC58" s="14">
        <f t="shared" si="40"/>
        <v>0</v>
      </c>
      <c r="AD58" s="14">
        <f t="shared" si="40"/>
        <v>0</v>
      </c>
      <c r="AE58" s="14">
        <f t="shared" si="40"/>
        <v>0</v>
      </c>
      <c r="AF58" s="14">
        <f t="shared" si="40"/>
        <v>0</v>
      </c>
      <c r="AG58" s="14">
        <f t="shared" si="40"/>
        <v>0</v>
      </c>
      <c r="AH58" s="14">
        <f t="shared" si="40"/>
        <v>0</v>
      </c>
      <c r="AI58" s="14">
        <f t="shared" si="40"/>
        <v>0</v>
      </c>
      <c r="AJ58" s="14">
        <f t="shared" si="40"/>
        <v>0</v>
      </c>
      <c r="AK58" s="14">
        <f t="shared" si="40"/>
        <v>0</v>
      </c>
      <c r="AL58" s="14">
        <f t="shared" si="40"/>
        <v>19047.61904761905</v>
      </c>
      <c r="AM58" s="14">
        <f t="shared" si="40"/>
        <v>19047.61904761905</v>
      </c>
      <c r="AN58" s="14">
        <f t="shared" si="40"/>
        <v>19047.61904761905</v>
      </c>
      <c r="AO58" s="14">
        <f t="shared" si="40"/>
        <v>19047.61904761905</v>
      </c>
      <c r="AP58" s="14">
        <f t="shared" si="40"/>
        <v>19047.61904761905</v>
      </c>
      <c r="AQ58" s="14">
        <f t="shared" si="40"/>
        <v>19047.61904761905</v>
      </c>
      <c r="AR58" s="14">
        <f t="shared" si="40"/>
        <v>19047.61904761905</v>
      </c>
      <c r="AS58" s="14">
        <f t="shared" si="40"/>
        <v>19047.61904761905</v>
      </c>
      <c r="AT58" s="14">
        <f t="shared" si="40"/>
        <v>19047.61904761905</v>
      </c>
      <c r="AU58" s="14">
        <f t="shared" si="40"/>
        <v>19619.047619047622</v>
      </c>
      <c r="AV58" s="14">
        <f t="shared" si="40"/>
        <v>19619.047619047622</v>
      </c>
      <c r="AW58" s="14">
        <f t="shared" si="40"/>
        <v>19619.047619047622</v>
      </c>
      <c r="AX58" s="14">
        <f t="shared" si="40"/>
        <v>19619.047619047622</v>
      </c>
      <c r="AY58" s="14">
        <f t="shared" si="40"/>
        <v>19619.047619047622</v>
      </c>
      <c r="AZ58" s="14">
        <f t="shared" si="40"/>
        <v>19619.047619047622</v>
      </c>
      <c r="BA58" s="14">
        <f t="shared" si="40"/>
        <v>19619.047619047622</v>
      </c>
      <c r="BB58" s="14">
        <f t="shared" si="40"/>
        <v>19619.047619047622</v>
      </c>
      <c r="BC58" s="14">
        <f t="shared" si="40"/>
        <v>19619.047619047622</v>
      </c>
      <c r="BD58" s="14">
        <f t="shared" si="40"/>
        <v>19619.047619047622</v>
      </c>
      <c r="BE58" s="14">
        <f t="shared" si="40"/>
        <v>19619.047619047622</v>
      </c>
      <c r="BF58" s="14">
        <f t="shared" si="40"/>
        <v>19619.047619047622</v>
      </c>
      <c r="BG58" s="14">
        <f t="shared" si="40"/>
        <v>20207.61904761905</v>
      </c>
      <c r="BH58" s="14">
        <f t="shared" si="40"/>
        <v>20207.61904761905</v>
      </c>
      <c r="BI58" s="14">
        <f t="shared" si="40"/>
        <v>20207.61904761905</v>
      </c>
      <c r="BJ58" s="14">
        <f t="shared" si="40"/>
        <v>20207.61904761905</v>
      </c>
      <c r="BK58" s="14">
        <f t="shared" si="40"/>
        <v>20207.61904761905</v>
      </c>
      <c r="BL58" s="14">
        <f t="shared" si="40"/>
        <v>20207.61904761905</v>
      </c>
      <c r="BM58" s="14">
        <f t="shared" si="40"/>
        <v>20207.61904761905</v>
      </c>
      <c r="BN58" s="14">
        <f t="shared" si="40"/>
        <v>20207.61904761905</v>
      </c>
      <c r="BO58" s="14">
        <f t="shared" si="40"/>
        <v>20207.61904761905</v>
      </c>
      <c r="BP58" s="14">
        <f t="shared" si="40"/>
        <v>20207.61904761905</v>
      </c>
      <c r="BQ58" s="14">
        <f t="shared" si="40"/>
        <v>20207.61904761905</v>
      </c>
      <c r="BR58" s="14">
        <f t="shared" si="40"/>
        <v>20207.61904761905</v>
      </c>
      <c r="BS58" s="14">
        <f t="shared" si="40"/>
        <v>20813.847619047621</v>
      </c>
      <c r="BT58" s="14">
        <f t="shared" si="40"/>
        <v>20813.847619047621</v>
      </c>
      <c r="BU58" s="14">
        <f t="shared" si="40"/>
        <v>20813.847619047621</v>
      </c>
    </row>
    <row r="59" spans="2:74">
      <c r="B59" s="121" t="s">
        <v>78</v>
      </c>
      <c r="E59" s="89">
        <f>SUM(E52:E58)</f>
        <v>80000.000000000015</v>
      </c>
      <c r="F59" s="100">
        <f>MIN(F52:F58)</f>
        <v>16</v>
      </c>
      <c r="G59" s="100">
        <f>MAX(G52:G58)</f>
        <v>25</v>
      </c>
      <c r="H59" s="127">
        <f>SUMPRODUCT(H52:H58,E52:E58)/E59</f>
        <v>20</v>
      </c>
      <c r="J59" s="127">
        <f t="shared" si="34"/>
        <v>20.000000000000004</v>
      </c>
      <c r="K59" s="128">
        <f>SUM(K52:K58)</f>
        <v>1600000.0000000002</v>
      </c>
      <c r="L59" s="129"/>
      <c r="M59" s="111">
        <f>SUM(M52:M58)</f>
        <v>0</v>
      </c>
      <c r="N59" s="111">
        <f t="shared" ref="N59:BU59" si="41">SUM(N52:N58)</f>
        <v>0</v>
      </c>
      <c r="O59" s="111">
        <f t="shared" si="41"/>
        <v>0</v>
      </c>
      <c r="P59" s="111">
        <f t="shared" si="41"/>
        <v>0</v>
      </c>
      <c r="Q59" s="111">
        <f t="shared" si="41"/>
        <v>0</v>
      </c>
      <c r="R59" s="111">
        <f t="shared" si="41"/>
        <v>0</v>
      </c>
      <c r="S59" s="111">
        <f t="shared" si="41"/>
        <v>0</v>
      </c>
      <c r="T59" s="111">
        <f t="shared" si="41"/>
        <v>0</v>
      </c>
      <c r="U59" s="111">
        <f t="shared" si="41"/>
        <v>0</v>
      </c>
      <c r="V59" s="111">
        <f t="shared" si="41"/>
        <v>0</v>
      </c>
      <c r="W59" s="111">
        <f t="shared" si="41"/>
        <v>0</v>
      </c>
      <c r="X59" s="111">
        <f t="shared" si="41"/>
        <v>0</v>
      </c>
      <c r="Y59" s="111">
        <f t="shared" si="41"/>
        <v>0</v>
      </c>
      <c r="Z59" s="111">
        <f t="shared" si="41"/>
        <v>0</v>
      </c>
      <c r="AA59" s="111">
        <f t="shared" si="41"/>
        <v>0</v>
      </c>
      <c r="AB59" s="111">
        <f t="shared" si="41"/>
        <v>0</v>
      </c>
      <c r="AC59" s="111">
        <f t="shared" si="41"/>
        <v>0</v>
      </c>
      <c r="AD59" s="111">
        <f t="shared" si="41"/>
        <v>0</v>
      </c>
      <c r="AE59" s="111">
        <f t="shared" si="41"/>
        <v>0</v>
      </c>
      <c r="AF59" s="111">
        <f t="shared" si="41"/>
        <v>19047.61904761905</v>
      </c>
      <c r="AG59" s="111">
        <f t="shared" si="41"/>
        <v>38095.238095238099</v>
      </c>
      <c r="AH59" s="111">
        <f t="shared" si="41"/>
        <v>57142.857142857145</v>
      </c>
      <c r="AI59" s="111">
        <f t="shared" si="41"/>
        <v>76190.476190476198</v>
      </c>
      <c r="AJ59" s="111">
        <f t="shared" si="41"/>
        <v>95238.095238095251</v>
      </c>
      <c r="AK59" s="111">
        <f t="shared" si="41"/>
        <v>114285.7142857143</v>
      </c>
      <c r="AL59" s="111">
        <f t="shared" si="41"/>
        <v>133333.33333333334</v>
      </c>
      <c r="AM59" s="111">
        <f t="shared" si="41"/>
        <v>133333.33333333334</v>
      </c>
      <c r="AN59" s="111">
        <f t="shared" si="41"/>
        <v>133333.33333333334</v>
      </c>
      <c r="AO59" s="111">
        <f t="shared" si="41"/>
        <v>133904.76190476192</v>
      </c>
      <c r="AP59" s="111">
        <f t="shared" si="41"/>
        <v>134476.1904761905</v>
      </c>
      <c r="AQ59" s="111">
        <f t="shared" si="41"/>
        <v>135047.61904761908</v>
      </c>
      <c r="AR59" s="111">
        <f t="shared" si="41"/>
        <v>135619.04761904763</v>
      </c>
      <c r="AS59" s="111">
        <f t="shared" si="41"/>
        <v>136190.47619047621</v>
      </c>
      <c r="AT59" s="111">
        <f t="shared" si="41"/>
        <v>136761.90476190476</v>
      </c>
      <c r="AU59" s="111">
        <f t="shared" si="41"/>
        <v>137333.33333333334</v>
      </c>
      <c r="AV59" s="111">
        <f t="shared" si="41"/>
        <v>137333.33333333334</v>
      </c>
      <c r="AW59" s="111">
        <f t="shared" si="41"/>
        <v>137333.33333333334</v>
      </c>
      <c r="AX59" s="111">
        <f t="shared" si="41"/>
        <v>137333.33333333334</v>
      </c>
      <c r="AY59" s="111">
        <f t="shared" si="41"/>
        <v>137333.33333333334</v>
      </c>
      <c r="AZ59" s="111">
        <f t="shared" si="41"/>
        <v>137333.33333333334</v>
      </c>
      <c r="BA59" s="111">
        <f t="shared" si="41"/>
        <v>137921.90476190476</v>
      </c>
      <c r="BB59" s="111">
        <f t="shared" si="41"/>
        <v>138510.47619047621</v>
      </c>
      <c r="BC59" s="111">
        <f t="shared" si="41"/>
        <v>139099.04761904763</v>
      </c>
      <c r="BD59" s="111">
        <f t="shared" si="41"/>
        <v>139687.61904761905</v>
      </c>
      <c r="BE59" s="111">
        <f t="shared" si="41"/>
        <v>140276.1904761905</v>
      </c>
      <c r="BF59" s="111">
        <f t="shared" si="41"/>
        <v>140864.76190476192</v>
      </c>
      <c r="BG59" s="111">
        <f t="shared" si="41"/>
        <v>141453.33333333334</v>
      </c>
      <c r="BH59" s="111">
        <f t="shared" si="41"/>
        <v>141453.33333333334</v>
      </c>
      <c r="BI59" s="111">
        <f t="shared" si="41"/>
        <v>141453.33333333334</v>
      </c>
      <c r="BJ59" s="111">
        <f t="shared" si="41"/>
        <v>141453.33333333334</v>
      </c>
      <c r="BK59" s="111">
        <f t="shared" si="41"/>
        <v>141453.33333333334</v>
      </c>
      <c r="BL59" s="111">
        <f t="shared" si="41"/>
        <v>141453.33333333334</v>
      </c>
      <c r="BM59" s="111">
        <f t="shared" si="41"/>
        <v>142059.56190476194</v>
      </c>
      <c r="BN59" s="111">
        <f t="shared" si="41"/>
        <v>142665.79047619051</v>
      </c>
      <c r="BO59" s="111">
        <f t="shared" si="41"/>
        <v>143272.01904761908</v>
      </c>
      <c r="BP59" s="111">
        <f t="shared" si="41"/>
        <v>143878.24761904764</v>
      </c>
      <c r="BQ59" s="111">
        <f t="shared" si="41"/>
        <v>144484.47619047621</v>
      </c>
      <c r="BR59" s="111">
        <f t="shared" si="41"/>
        <v>145090.70476190478</v>
      </c>
      <c r="BS59" s="111">
        <f t="shared" si="41"/>
        <v>145696.93333333335</v>
      </c>
      <c r="BT59" s="111">
        <f t="shared" si="41"/>
        <v>145696.93333333335</v>
      </c>
      <c r="BU59" s="111">
        <f t="shared" si="41"/>
        <v>145696.93333333335</v>
      </c>
    </row>
    <row r="60" spans="2:74">
      <c r="B60" s="108" t="s">
        <v>79</v>
      </c>
      <c r="E60" s="113" t="s">
        <v>95</v>
      </c>
      <c r="F60" s="33">
        <f>E52/$E$59</f>
        <v>0.14285714285714285</v>
      </c>
      <c r="J60" s="127">
        <f t="shared" si="34"/>
        <v>0.47857142857142854</v>
      </c>
      <c r="K60" s="128">
        <f>F60*SUM($K$74:$K$76)</f>
        <v>38285.714285714283</v>
      </c>
      <c r="L60" s="129"/>
      <c r="M60" s="111">
        <f t="shared" ref="M60:AR60" si="42">(M$3&gt;=$F52)*($F60*SUM(M$74:M$76))</f>
        <v>0</v>
      </c>
      <c r="N60" s="111">
        <f t="shared" si="42"/>
        <v>0</v>
      </c>
      <c r="O60" s="111">
        <f t="shared" si="42"/>
        <v>0</v>
      </c>
      <c r="P60" s="111">
        <f t="shared" si="42"/>
        <v>0</v>
      </c>
      <c r="Q60" s="111">
        <f t="shared" si="42"/>
        <v>0</v>
      </c>
      <c r="R60" s="111">
        <f t="shared" si="42"/>
        <v>0</v>
      </c>
      <c r="S60" s="111">
        <f t="shared" si="42"/>
        <v>0</v>
      </c>
      <c r="T60" s="111">
        <f t="shared" si="42"/>
        <v>0</v>
      </c>
      <c r="U60" s="111">
        <f t="shared" si="42"/>
        <v>0</v>
      </c>
      <c r="V60" s="111">
        <f t="shared" si="42"/>
        <v>0</v>
      </c>
      <c r="W60" s="111">
        <f t="shared" si="42"/>
        <v>0</v>
      </c>
      <c r="X60" s="111">
        <f t="shared" si="42"/>
        <v>0</v>
      </c>
      <c r="Y60" s="111">
        <f t="shared" si="42"/>
        <v>0</v>
      </c>
      <c r="Z60" s="111">
        <f t="shared" si="42"/>
        <v>0</v>
      </c>
      <c r="AA60" s="111">
        <f t="shared" si="42"/>
        <v>0</v>
      </c>
      <c r="AB60" s="111">
        <f t="shared" si="42"/>
        <v>0</v>
      </c>
      <c r="AC60" s="111">
        <f t="shared" si="42"/>
        <v>3190.4761904761908</v>
      </c>
      <c r="AD60" s="111">
        <f t="shared" si="42"/>
        <v>3190.4761904761908</v>
      </c>
      <c r="AE60" s="111">
        <f t="shared" si="42"/>
        <v>3190.4761904761908</v>
      </c>
      <c r="AF60" s="111">
        <f t="shared" si="42"/>
        <v>3190.4761904761908</v>
      </c>
      <c r="AG60" s="111">
        <f t="shared" si="42"/>
        <v>3190.4761904761908</v>
      </c>
      <c r="AH60" s="111">
        <f t="shared" si="42"/>
        <v>3190.4761904761908</v>
      </c>
      <c r="AI60" s="111">
        <f t="shared" si="42"/>
        <v>3190.4761904761908</v>
      </c>
      <c r="AJ60" s="111">
        <f t="shared" si="42"/>
        <v>3190.4761904761908</v>
      </c>
      <c r="AK60" s="111">
        <f t="shared" si="42"/>
        <v>3190.4761904761908</v>
      </c>
      <c r="AL60" s="111">
        <f t="shared" si="42"/>
        <v>3190.4761904761908</v>
      </c>
      <c r="AM60" s="111">
        <f t="shared" si="42"/>
        <v>3190.4761904761908</v>
      </c>
      <c r="AN60" s="111">
        <f t="shared" si="42"/>
        <v>3190.4761904761908</v>
      </c>
      <c r="AO60" s="111">
        <f t="shared" si="42"/>
        <v>3286.1904761904761</v>
      </c>
      <c r="AP60" s="111">
        <f t="shared" si="42"/>
        <v>3286.1904761904761</v>
      </c>
      <c r="AQ60" s="111">
        <f t="shared" si="42"/>
        <v>3286.1904761904761</v>
      </c>
      <c r="AR60" s="111">
        <f t="shared" si="42"/>
        <v>3286.1904761904761</v>
      </c>
      <c r="AS60" s="111">
        <f t="shared" ref="AS60:BU60" si="43">(AS$3&gt;=$F52)*($F60*SUM(AS$74:AS$76))</f>
        <v>3286.1904761904761</v>
      </c>
      <c r="AT60" s="111">
        <f t="shared" si="43"/>
        <v>3286.1904761904761</v>
      </c>
      <c r="AU60" s="111">
        <f t="shared" si="43"/>
        <v>3286.1904761904761</v>
      </c>
      <c r="AV60" s="111">
        <f t="shared" si="43"/>
        <v>3286.1904761904761</v>
      </c>
      <c r="AW60" s="111">
        <f t="shared" si="43"/>
        <v>3286.1904761904761</v>
      </c>
      <c r="AX60" s="111">
        <f t="shared" si="43"/>
        <v>3286.1904761904761</v>
      </c>
      <c r="AY60" s="111">
        <f t="shared" si="43"/>
        <v>3286.1904761904761</v>
      </c>
      <c r="AZ60" s="111">
        <f t="shared" si="43"/>
        <v>3286.1904761904761</v>
      </c>
      <c r="BA60" s="111">
        <f t="shared" si="43"/>
        <v>3384.7761904761905</v>
      </c>
      <c r="BB60" s="111">
        <f t="shared" si="43"/>
        <v>3384.7761904761905</v>
      </c>
      <c r="BC60" s="111">
        <f t="shared" si="43"/>
        <v>3384.7761904761905</v>
      </c>
      <c r="BD60" s="111">
        <f t="shared" si="43"/>
        <v>3384.7761904761905</v>
      </c>
      <c r="BE60" s="111">
        <f t="shared" si="43"/>
        <v>3384.7761904761905</v>
      </c>
      <c r="BF60" s="111">
        <f t="shared" si="43"/>
        <v>3384.7761904761905</v>
      </c>
      <c r="BG60" s="111">
        <f t="shared" si="43"/>
        <v>3384.7761904761905</v>
      </c>
      <c r="BH60" s="111">
        <f t="shared" si="43"/>
        <v>3384.7761904761905</v>
      </c>
      <c r="BI60" s="111">
        <f t="shared" si="43"/>
        <v>3384.7761904761905</v>
      </c>
      <c r="BJ60" s="111">
        <f t="shared" si="43"/>
        <v>3384.7761904761905</v>
      </c>
      <c r="BK60" s="111">
        <f t="shared" si="43"/>
        <v>3384.7761904761905</v>
      </c>
      <c r="BL60" s="111">
        <f t="shared" si="43"/>
        <v>3384.7761904761905</v>
      </c>
      <c r="BM60" s="111">
        <f t="shared" si="43"/>
        <v>3486.3194761904761</v>
      </c>
      <c r="BN60" s="111">
        <f t="shared" si="43"/>
        <v>3486.3194761904761</v>
      </c>
      <c r="BO60" s="111">
        <f t="shared" si="43"/>
        <v>3486.3194761904761</v>
      </c>
      <c r="BP60" s="111">
        <f t="shared" si="43"/>
        <v>3486.3194761904761</v>
      </c>
      <c r="BQ60" s="111">
        <f t="shared" si="43"/>
        <v>3486.3194761904761</v>
      </c>
      <c r="BR60" s="111">
        <f t="shared" si="43"/>
        <v>3486.3194761904761</v>
      </c>
      <c r="BS60" s="111">
        <f t="shared" si="43"/>
        <v>3486.3194761904761</v>
      </c>
      <c r="BT60" s="111">
        <f t="shared" si="43"/>
        <v>3486.3194761904761</v>
      </c>
      <c r="BU60" s="111">
        <f t="shared" si="43"/>
        <v>3486.3194761904761</v>
      </c>
    </row>
    <row r="61" spans="2:74">
      <c r="B61" s="108" t="s">
        <v>80</v>
      </c>
      <c r="E61" s="113" t="s">
        <v>95</v>
      </c>
      <c r="F61" s="33">
        <f t="shared" ref="F61:F66" si="44">E53/$E$59</f>
        <v>0.14285714285714285</v>
      </c>
      <c r="J61" s="127">
        <f t="shared" si="34"/>
        <v>0.47857142857142854</v>
      </c>
      <c r="K61" s="128">
        <f t="shared" ref="K61:K66" si="45">F61*SUM($K$74:$K$76)</f>
        <v>38285.714285714283</v>
      </c>
      <c r="L61" s="129"/>
      <c r="M61" s="111">
        <f t="shared" ref="M61:AR61" si="46">(M$3&gt;=$F53)*($F61*SUM(M$74:M$76))</f>
        <v>0</v>
      </c>
      <c r="N61" s="111">
        <f t="shared" si="46"/>
        <v>0</v>
      </c>
      <c r="O61" s="111">
        <f t="shared" si="46"/>
        <v>0</v>
      </c>
      <c r="P61" s="111">
        <f t="shared" si="46"/>
        <v>0</v>
      </c>
      <c r="Q61" s="111">
        <f t="shared" si="46"/>
        <v>0</v>
      </c>
      <c r="R61" s="111">
        <f t="shared" si="46"/>
        <v>0</v>
      </c>
      <c r="S61" s="111">
        <f t="shared" si="46"/>
        <v>0</v>
      </c>
      <c r="T61" s="111">
        <f t="shared" si="46"/>
        <v>0</v>
      </c>
      <c r="U61" s="111">
        <f t="shared" si="46"/>
        <v>0</v>
      </c>
      <c r="V61" s="111">
        <f t="shared" si="46"/>
        <v>0</v>
      </c>
      <c r="W61" s="111">
        <f t="shared" si="46"/>
        <v>0</v>
      </c>
      <c r="X61" s="111">
        <f t="shared" si="46"/>
        <v>0</v>
      </c>
      <c r="Y61" s="111">
        <f t="shared" si="46"/>
        <v>0</v>
      </c>
      <c r="Z61" s="111">
        <f t="shared" si="46"/>
        <v>0</v>
      </c>
      <c r="AA61" s="111">
        <f t="shared" si="46"/>
        <v>0</v>
      </c>
      <c r="AB61" s="111">
        <f t="shared" si="46"/>
        <v>0</v>
      </c>
      <c r="AC61" s="111">
        <f t="shared" si="46"/>
        <v>0</v>
      </c>
      <c r="AD61" s="111">
        <f t="shared" si="46"/>
        <v>3190.4761904761908</v>
      </c>
      <c r="AE61" s="111">
        <f t="shared" si="46"/>
        <v>3190.4761904761908</v>
      </c>
      <c r="AF61" s="111">
        <f t="shared" si="46"/>
        <v>3190.4761904761908</v>
      </c>
      <c r="AG61" s="111">
        <f t="shared" si="46"/>
        <v>3190.4761904761908</v>
      </c>
      <c r="AH61" s="111">
        <f t="shared" si="46"/>
        <v>3190.4761904761908</v>
      </c>
      <c r="AI61" s="111">
        <f t="shared" si="46"/>
        <v>3190.4761904761908</v>
      </c>
      <c r="AJ61" s="111">
        <f t="shared" si="46"/>
        <v>3190.4761904761908</v>
      </c>
      <c r="AK61" s="111">
        <f t="shared" si="46"/>
        <v>3190.4761904761908</v>
      </c>
      <c r="AL61" s="111">
        <f t="shared" si="46"/>
        <v>3190.4761904761908</v>
      </c>
      <c r="AM61" s="111">
        <f t="shared" si="46"/>
        <v>3190.4761904761908</v>
      </c>
      <c r="AN61" s="111">
        <f t="shared" si="46"/>
        <v>3190.4761904761908</v>
      </c>
      <c r="AO61" s="111">
        <f t="shared" si="46"/>
        <v>3286.1904761904761</v>
      </c>
      <c r="AP61" s="111">
        <f t="shared" si="46"/>
        <v>3286.1904761904761</v>
      </c>
      <c r="AQ61" s="111">
        <f t="shared" si="46"/>
        <v>3286.1904761904761</v>
      </c>
      <c r="AR61" s="111">
        <f t="shared" si="46"/>
        <v>3286.1904761904761</v>
      </c>
      <c r="AS61" s="111">
        <f t="shared" ref="AS61:BU61" si="47">(AS$3&gt;=$F53)*($F61*SUM(AS$74:AS$76))</f>
        <v>3286.1904761904761</v>
      </c>
      <c r="AT61" s="111">
        <f t="shared" si="47"/>
        <v>3286.1904761904761</v>
      </c>
      <c r="AU61" s="111">
        <f t="shared" si="47"/>
        <v>3286.1904761904761</v>
      </c>
      <c r="AV61" s="111">
        <f t="shared" si="47"/>
        <v>3286.1904761904761</v>
      </c>
      <c r="AW61" s="111">
        <f t="shared" si="47"/>
        <v>3286.1904761904761</v>
      </c>
      <c r="AX61" s="111">
        <f t="shared" si="47"/>
        <v>3286.1904761904761</v>
      </c>
      <c r="AY61" s="111">
        <f t="shared" si="47"/>
        <v>3286.1904761904761</v>
      </c>
      <c r="AZ61" s="111">
        <f t="shared" si="47"/>
        <v>3286.1904761904761</v>
      </c>
      <c r="BA61" s="111">
        <f t="shared" si="47"/>
        <v>3384.7761904761905</v>
      </c>
      <c r="BB61" s="111">
        <f t="shared" si="47"/>
        <v>3384.7761904761905</v>
      </c>
      <c r="BC61" s="111">
        <f t="shared" si="47"/>
        <v>3384.7761904761905</v>
      </c>
      <c r="BD61" s="111">
        <f t="shared" si="47"/>
        <v>3384.7761904761905</v>
      </c>
      <c r="BE61" s="111">
        <f t="shared" si="47"/>
        <v>3384.7761904761905</v>
      </c>
      <c r="BF61" s="111">
        <f t="shared" si="47"/>
        <v>3384.7761904761905</v>
      </c>
      <c r="BG61" s="111">
        <f t="shared" si="47"/>
        <v>3384.7761904761905</v>
      </c>
      <c r="BH61" s="111">
        <f t="shared" si="47"/>
        <v>3384.7761904761905</v>
      </c>
      <c r="BI61" s="111">
        <f t="shared" si="47"/>
        <v>3384.7761904761905</v>
      </c>
      <c r="BJ61" s="111">
        <f t="shared" si="47"/>
        <v>3384.7761904761905</v>
      </c>
      <c r="BK61" s="111">
        <f t="shared" si="47"/>
        <v>3384.7761904761905</v>
      </c>
      <c r="BL61" s="111">
        <f t="shared" si="47"/>
        <v>3384.7761904761905</v>
      </c>
      <c r="BM61" s="111">
        <f t="shared" si="47"/>
        <v>3486.3194761904761</v>
      </c>
      <c r="BN61" s="111">
        <f t="shared" si="47"/>
        <v>3486.3194761904761</v>
      </c>
      <c r="BO61" s="111">
        <f t="shared" si="47"/>
        <v>3486.3194761904761</v>
      </c>
      <c r="BP61" s="111">
        <f t="shared" si="47"/>
        <v>3486.3194761904761</v>
      </c>
      <c r="BQ61" s="111">
        <f t="shared" si="47"/>
        <v>3486.3194761904761</v>
      </c>
      <c r="BR61" s="111">
        <f t="shared" si="47"/>
        <v>3486.3194761904761</v>
      </c>
      <c r="BS61" s="111">
        <f t="shared" si="47"/>
        <v>3486.3194761904761</v>
      </c>
      <c r="BT61" s="111">
        <f t="shared" si="47"/>
        <v>3486.3194761904761</v>
      </c>
      <c r="BU61" s="111">
        <f t="shared" si="47"/>
        <v>3486.3194761904761</v>
      </c>
    </row>
    <row r="62" spans="2:74">
      <c r="B62" s="108" t="s">
        <v>81</v>
      </c>
      <c r="E62" s="113" t="s">
        <v>95</v>
      </c>
      <c r="F62" s="33">
        <f t="shared" si="44"/>
        <v>0.14285714285714285</v>
      </c>
      <c r="J62" s="127">
        <f t="shared" si="34"/>
        <v>0.47857142857142854</v>
      </c>
      <c r="K62" s="128">
        <f t="shared" si="45"/>
        <v>38285.714285714283</v>
      </c>
      <c r="L62" s="129"/>
      <c r="M62" s="111">
        <f t="shared" ref="M62:AR62" si="48">(M$3&gt;=$F54)*($F62*SUM(M$74:M$76))</f>
        <v>0</v>
      </c>
      <c r="N62" s="111">
        <f t="shared" si="48"/>
        <v>0</v>
      </c>
      <c r="O62" s="111">
        <f t="shared" si="48"/>
        <v>0</v>
      </c>
      <c r="P62" s="111">
        <f t="shared" si="48"/>
        <v>0</v>
      </c>
      <c r="Q62" s="111">
        <f t="shared" si="48"/>
        <v>0</v>
      </c>
      <c r="R62" s="111">
        <f t="shared" si="48"/>
        <v>0</v>
      </c>
      <c r="S62" s="111">
        <f t="shared" si="48"/>
        <v>0</v>
      </c>
      <c r="T62" s="111">
        <f t="shared" si="48"/>
        <v>0</v>
      </c>
      <c r="U62" s="111">
        <f t="shared" si="48"/>
        <v>0</v>
      </c>
      <c r="V62" s="111">
        <f t="shared" si="48"/>
        <v>0</v>
      </c>
      <c r="W62" s="111">
        <f t="shared" si="48"/>
        <v>0</v>
      </c>
      <c r="X62" s="111">
        <f t="shared" si="48"/>
        <v>0</v>
      </c>
      <c r="Y62" s="111">
        <f t="shared" si="48"/>
        <v>0</v>
      </c>
      <c r="Z62" s="111">
        <f t="shared" si="48"/>
        <v>0</v>
      </c>
      <c r="AA62" s="111">
        <f t="shared" si="48"/>
        <v>0</v>
      </c>
      <c r="AB62" s="111">
        <f t="shared" si="48"/>
        <v>0</v>
      </c>
      <c r="AC62" s="111">
        <f t="shared" si="48"/>
        <v>0</v>
      </c>
      <c r="AD62" s="111">
        <f t="shared" si="48"/>
        <v>0</v>
      </c>
      <c r="AE62" s="111">
        <f t="shared" si="48"/>
        <v>3190.4761904761908</v>
      </c>
      <c r="AF62" s="111">
        <f t="shared" si="48"/>
        <v>3190.4761904761908</v>
      </c>
      <c r="AG62" s="111">
        <f t="shared" si="48"/>
        <v>3190.4761904761908</v>
      </c>
      <c r="AH62" s="111">
        <f t="shared" si="48"/>
        <v>3190.4761904761908</v>
      </c>
      <c r="AI62" s="111">
        <f t="shared" si="48"/>
        <v>3190.4761904761908</v>
      </c>
      <c r="AJ62" s="111">
        <f t="shared" si="48"/>
        <v>3190.4761904761908</v>
      </c>
      <c r="AK62" s="111">
        <f t="shared" si="48"/>
        <v>3190.4761904761908</v>
      </c>
      <c r="AL62" s="111">
        <f t="shared" si="48"/>
        <v>3190.4761904761908</v>
      </c>
      <c r="AM62" s="111">
        <f t="shared" si="48"/>
        <v>3190.4761904761908</v>
      </c>
      <c r="AN62" s="111">
        <f t="shared" si="48"/>
        <v>3190.4761904761908</v>
      </c>
      <c r="AO62" s="111">
        <f t="shared" si="48"/>
        <v>3286.1904761904761</v>
      </c>
      <c r="AP62" s="111">
        <f t="shared" si="48"/>
        <v>3286.1904761904761</v>
      </c>
      <c r="AQ62" s="111">
        <f t="shared" si="48"/>
        <v>3286.1904761904761</v>
      </c>
      <c r="AR62" s="111">
        <f t="shared" si="48"/>
        <v>3286.1904761904761</v>
      </c>
      <c r="AS62" s="111">
        <f t="shared" ref="AS62:BU62" si="49">(AS$3&gt;=$F54)*($F62*SUM(AS$74:AS$76))</f>
        <v>3286.1904761904761</v>
      </c>
      <c r="AT62" s="111">
        <f t="shared" si="49"/>
        <v>3286.1904761904761</v>
      </c>
      <c r="AU62" s="111">
        <f t="shared" si="49"/>
        <v>3286.1904761904761</v>
      </c>
      <c r="AV62" s="111">
        <f t="shared" si="49"/>
        <v>3286.1904761904761</v>
      </c>
      <c r="AW62" s="111">
        <f t="shared" si="49"/>
        <v>3286.1904761904761</v>
      </c>
      <c r="AX62" s="111">
        <f t="shared" si="49"/>
        <v>3286.1904761904761</v>
      </c>
      <c r="AY62" s="111">
        <f t="shared" si="49"/>
        <v>3286.1904761904761</v>
      </c>
      <c r="AZ62" s="111">
        <f t="shared" si="49"/>
        <v>3286.1904761904761</v>
      </c>
      <c r="BA62" s="111">
        <f t="shared" si="49"/>
        <v>3384.7761904761905</v>
      </c>
      <c r="BB62" s="111">
        <f t="shared" si="49"/>
        <v>3384.7761904761905</v>
      </c>
      <c r="BC62" s="111">
        <f t="shared" si="49"/>
        <v>3384.7761904761905</v>
      </c>
      <c r="BD62" s="111">
        <f t="shared" si="49"/>
        <v>3384.7761904761905</v>
      </c>
      <c r="BE62" s="111">
        <f t="shared" si="49"/>
        <v>3384.7761904761905</v>
      </c>
      <c r="BF62" s="111">
        <f t="shared" si="49"/>
        <v>3384.7761904761905</v>
      </c>
      <c r="BG62" s="111">
        <f t="shared" si="49"/>
        <v>3384.7761904761905</v>
      </c>
      <c r="BH62" s="111">
        <f t="shared" si="49"/>
        <v>3384.7761904761905</v>
      </c>
      <c r="BI62" s="111">
        <f t="shared" si="49"/>
        <v>3384.7761904761905</v>
      </c>
      <c r="BJ62" s="111">
        <f t="shared" si="49"/>
        <v>3384.7761904761905</v>
      </c>
      <c r="BK62" s="111">
        <f t="shared" si="49"/>
        <v>3384.7761904761905</v>
      </c>
      <c r="BL62" s="111">
        <f t="shared" si="49"/>
        <v>3384.7761904761905</v>
      </c>
      <c r="BM62" s="111">
        <f t="shared" si="49"/>
        <v>3486.3194761904761</v>
      </c>
      <c r="BN62" s="111">
        <f t="shared" si="49"/>
        <v>3486.3194761904761</v>
      </c>
      <c r="BO62" s="111">
        <f t="shared" si="49"/>
        <v>3486.3194761904761</v>
      </c>
      <c r="BP62" s="111">
        <f t="shared" si="49"/>
        <v>3486.3194761904761</v>
      </c>
      <c r="BQ62" s="111">
        <f t="shared" si="49"/>
        <v>3486.3194761904761</v>
      </c>
      <c r="BR62" s="111">
        <f t="shared" si="49"/>
        <v>3486.3194761904761</v>
      </c>
      <c r="BS62" s="111">
        <f t="shared" si="49"/>
        <v>3486.3194761904761</v>
      </c>
      <c r="BT62" s="111">
        <f t="shared" si="49"/>
        <v>3486.3194761904761</v>
      </c>
      <c r="BU62" s="111">
        <f t="shared" si="49"/>
        <v>3486.3194761904761</v>
      </c>
    </row>
    <row r="63" spans="2:74">
      <c r="B63" s="108" t="s">
        <v>82</v>
      </c>
      <c r="E63" s="113" t="s">
        <v>95</v>
      </c>
      <c r="F63" s="33">
        <f t="shared" si="44"/>
        <v>0.14285714285714285</v>
      </c>
      <c r="J63" s="127">
        <f t="shared" si="34"/>
        <v>0.47857142857142854</v>
      </c>
      <c r="K63" s="128">
        <f t="shared" si="45"/>
        <v>38285.714285714283</v>
      </c>
      <c r="L63" s="129"/>
      <c r="M63" s="111">
        <f t="shared" ref="M63:AR63" si="50">(M$3&gt;=$F55)*($F63*SUM(M$74:M$76))</f>
        <v>0</v>
      </c>
      <c r="N63" s="111">
        <f t="shared" si="50"/>
        <v>0</v>
      </c>
      <c r="O63" s="111">
        <f t="shared" si="50"/>
        <v>0</v>
      </c>
      <c r="P63" s="111">
        <f t="shared" si="50"/>
        <v>0</v>
      </c>
      <c r="Q63" s="111">
        <f t="shared" si="50"/>
        <v>0</v>
      </c>
      <c r="R63" s="111">
        <f t="shared" si="50"/>
        <v>0</v>
      </c>
      <c r="S63" s="111">
        <f t="shared" si="50"/>
        <v>0</v>
      </c>
      <c r="T63" s="111">
        <f t="shared" si="50"/>
        <v>0</v>
      </c>
      <c r="U63" s="111">
        <f t="shared" si="50"/>
        <v>0</v>
      </c>
      <c r="V63" s="111">
        <f t="shared" si="50"/>
        <v>0</v>
      </c>
      <c r="W63" s="111">
        <f t="shared" si="50"/>
        <v>0</v>
      </c>
      <c r="X63" s="111">
        <f t="shared" si="50"/>
        <v>0</v>
      </c>
      <c r="Y63" s="111">
        <f t="shared" si="50"/>
        <v>0</v>
      </c>
      <c r="Z63" s="111">
        <f t="shared" si="50"/>
        <v>0</v>
      </c>
      <c r="AA63" s="111">
        <f t="shared" si="50"/>
        <v>0</v>
      </c>
      <c r="AB63" s="111">
        <f t="shared" si="50"/>
        <v>0</v>
      </c>
      <c r="AC63" s="111">
        <f t="shared" si="50"/>
        <v>0</v>
      </c>
      <c r="AD63" s="111">
        <f t="shared" si="50"/>
        <v>0</v>
      </c>
      <c r="AE63" s="111">
        <f t="shared" si="50"/>
        <v>0</v>
      </c>
      <c r="AF63" s="111">
        <f t="shared" si="50"/>
        <v>3190.4761904761908</v>
      </c>
      <c r="AG63" s="111">
        <f t="shared" si="50"/>
        <v>3190.4761904761908</v>
      </c>
      <c r="AH63" s="111">
        <f t="shared" si="50"/>
        <v>3190.4761904761908</v>
      </c>
      <c r="AI63" s="111">
        <f t="shared" si="50"/>
        <v>3190.4761904761908</v>
      </c>
      <c r="AJ63" s="111">
        <f t="shared" si="50"/>
        <v>3190.4761904761908</v>
      </c>
      <c r="AK63" s="111">
        <f t="shared" si="50"/>
        <v>3190.4761904761908</v>
      </c>
      <c r="AL63" s="111">
        <f t="shared" si="50"/>
        <v>3190.4761904761908</v>
      </c>
      <c r="AM63" s="111">
        <f t="shared" si="50"/>
        <v>3190.4761904761908</v>
      </c>
      <c r="AN63" s="111">
        <f t="shared" si="50"/>
        <v>3190.4761904761908</v>
      </c>
      <c r="AO63" s="111">
        <f t="shared" si="50"/>
        <v>3286.1904761904761</v>
      </c>
      <c r="AP63" s="111">
        <f t="shared" si="50"/>
        <v>3286.1904761904761</v>
      </c>
      <c r="AQ63" s="111">
        <f t="shared" si="50"/>
        <v>3286.1904761904761</v>
      </c>
      <c r="AR63" s="111">
        <f t="shared" si="50"/>
        <v>3286.1904761904761</v>
      </c>
      <c r="AS63" s="111">
        <f t="shared" ref="AS63:BU63" si="51">(AS$3&gt;=$F55)*($F63*SUM(AS$74:AS$76))</f>
        <v>3286.1904761904761</v>
      </c>
      <c r="AT63" s="111">
        <f t="shared" si="51"/>
        <v>3286.1904761904761</v>
      </c>
      <c r="AU63" s="111">
        <f t="shared" si="51"/>
        <v>3286.1904761904761</v>
      </c>
      <c r="AV63" s="111">
        <f t="shared" si="51"/>
        <v>3286.1904761904761</v>
      </c>
      <c r="AW63" s="111">
        <f t="shared" si="51"/>
        <v>3286.1904761904761</v>
      </c>
      <c r="AX63" s="111">
        <f t="shared" si="51"/>
        <v>3286.1904761904761</v>
      </c>
      <c r="AY63" s="111">
        <f t="shared" si="51"/>
        <v>3286.1904761904761</v>
      </c>
      <c r="AZ63" s="111">
        <f t="shared" si="51"/>
        <v>3286.1904761904761</v>
      </c>
      <c r="BA63" s="111">
        <f t="shared" si="51"/>
        <v>3384.7761904761905</v>
      </c>
      <c r="BB63" s="111">
        <f t="shared" si="51"/>
        <v>3384.7761904761905</v>
      </c>
      <c r="BC63" s="111">
        <f t="shared" si="51"/>
        <v>3384.7761904761905</v>
      </c>
      <c r="BD63" s="111">
        <f t="shared" si="51"/>
        <v>3384.7761904761905</v>
      </c>
      <c r="BE63" s="111">
        <f t="shared" si="51"/>
        <v>3384.7761904761905</v>
      </c>
      <c r="BF63" s="111">
        <f t="shared" si="51"/>
        <v>3384.7761904761905</v>
      </c>
      <c r="BG63" s="111">
        <f t="shared" si="51"/>
        <v>3384.7761904761905</v>
      </c>
      <c r="BH63" s="111">
        <f t="shared" si="51"/>
        <v>3384.7761904761905</v>
      </c>
      <c r="BI63" s="111">
        <f t="shared" si="51"/>
        <v>3384.7761904761905</v>
      </c>
      <c r="BJ63" s="111">
        <f t="shared" si="51"/>
        <v>3384.7761904761905</v>
      </c>
      <c r="BK63" s="111">
        <f t="shared" si="51"/>
        <v>3384.7761904761905</v>
      </c>
      <c r="BL63" s="111">
        <f t="shared" si="51"/>
        <v>3384.7761904761905</v>
      </c>
      <c r="BM63" s="111">
        <f t="shared" si="51"/>
        <v>3486.3194761904761</v>
      </c>
      <c r="BN63" s="111">
        <f t="shared" si="51"/>
        <v>3486.3194761904761</v>
      </c>
      <c r="BO63" s="111">
        <f t="shared" si="51"/>
        <v>3486.3194761904761</v>
      </c>
      <c r="BP63" s="111">
        <f t="shared" si="51"/>
        <v>3486.3194761904761</v>
      </c>
      <c r="BQ63" s="111">
        <f t="shared" si="51"/>
        <v>3486.3194761904761</v>
      </c>
      <c r="BR63" s="111">
        <f t="shared" si="51"/>
        <v>3486.3194761904761</v>
      </c>
      <c r="BS63" s="111">
        <f t="shared" si="51"/>
        <v>3486.3194761904761</v>
      </c>
      <c r="BT63" s="111">
        <f t="shared" si="51"/>
        <v>3486.3194761904761</v>
      </c>
      <c r="BU63" s="111">
        <f t="shared" si="51"/>
        <v>3486.3194761904761</v>
      </c>
    </row>
    <row r="64" spans="2:74">
      <c r="B64" s="108" t="s">
        <v>83</v>
      </c>
      <c r="E64" s="113" t="s">
        <v>95</v>
      </c>
      <c r="F64" s="33">
        <f t="shared" si="44"/>
        <v>0.14285714285714285</v>
      </c>
      <c r="J64" s="127">
        <f t="shared" si="34"/>
        <v>0.47857142857142854</v>
      </c>
      <c r="K64" s="128">
        <f t="shared" si="45"/>
        <v>38285.714285714283</v>
      </c>
      <c r="L64" s="129"/>
      <c r="M64" s="111">
        <f t="shared" ref="M64:AR64" si="52">(M$3&gt;=$F56)*($F64*SUM(M$74:M$76))</f>
        <v>0</v>
      </c>
      <c r="N64" s="111">
        <f t="shared" si="52"/>
        <v>0</v>
      </c>
      <c r="O64" s="111">
        <f t="shared" si="52"/>
        <v>0</v>
      </c>
      <c r="P64" s="111">
        <f t="shared" si="52"/>
        <v>0</v>
      </c>
      <c r="Q64" s="111">
        <f t="shared" si="52"/>
        <v>0</v>
      </c>
      <c r="R64" s="111">
        <f t="shared" si="52"/>
        <v>0</v>
      </c>
      <c r="S64" s="111">
        <f t="shared" si="52"/>
        <v>0</v>
      </c>
      <c r="T64" s="111">
        <f t="shared" si="52"/>
        <v>0</v>
      </c>
      <c r="U64" s="111">
        <f t="shared" si="52"/>
        <v>0</v>
      </c>
      <c r="V64" s="111">
        <f t="shared" si="52"/>
        <v>0</v>
      </c>
      <c r="W64" s="111">
        <f t="shared" si="52"/>
        <v>0</v>
      </c>
      <c r="X64" s="111">
        <f t="shared" si="52"/>
        <v>0</v>
      </c>
      <c r="Y64" s="111">
        <f t="shared" si="52"/>
        <v>0</v>
      </c>
      <c r="Z64" s="111">
        <f t="shared" si="52"/>
        <v>0</v>
      </c>
      <c r="AA64" s="111">
        <f t="shared" si="52"/>
        <v>0</v>
      </c>
      <c r="AB64" s="111">
        <f t="shared" si="52"/>
        <v>0</v>
      </c>
      <c r="AC64" s="111">
        <f t="shared" si="52"/>
        <v>0</v>
      </c>
      <c r="AD64" s="111">
        <f t="shared" si="52"/>
        <v>0</v>
      </c>
      <c r="AE64" s="111">
        <f t="shared" si="52"/>
        <v>0</v>
      </c>
      <c r="AF64" s="111">
        <f t="shared" si="52"/>
        <v>0</v>
      </c>
      <c r="AG64" s="111">
        <f t="shared" si="52"/>
        <v>3190.4761904761908</v>
      </c>
      <c r="AH64" s="111">
        <f t="shared" si="52"/>
        <v>3190.4761904761908</v>
      </c>
      <c r="AI64" s="111">
        <f t="shared" si="52"/>
        <v>3190.4761904761908</v>
      </c>
      <c r="AJ64" s="111">
        <f t="shared" si="52"/>
        <v>3190.4761904761908</v>
      </c>
      <c r="AK64" s="111">
        <f t="shared" si="52"/>
        <v>3190.4761904761908</v>
      </c>
      <c r="AL64" s="111">
        <f t="shared" si="52"/>
        <v>3190.4761904761908</v>
      </c>
      <c r="AM64" s="111">
        <f t="shared" si="52"/>
        <v>3190.4761904761908</v>
      </c>
      <c r="AN64" s="111">
        <f t="shared" si="52"/>
        <v>3190.4761904761908</v>
      </c>
      <c r="AO64" s="111">
        <f t="shared" si="52"/>
        <v>3286.1904761904761</v>
      </c>
      <c r="AP64" s="111">
        <f t="shared" si="52"/>
        <v>3286.1904761904761</v>
      </c>
      <c r="AQ64" s="111">
        <f t="shared" si="52"/>
        <v>3286.1904761904761</v>
      </c>
      <c r="AR64" s="111">
        <f t="shared" si="52"/>
        <v>3286.1904761904761</v>
      </c>
      <c r="AS64" s="111">
        <f t="shared" ref="AS64:BU64" si="53">(AS$3&gt;=$F56)*($F64*SUM(AS$74:AS$76))</f>
        <v>3286.1904761904761</v>
      </c>
      <c r="AT64" s="111">
        <f t="shared" si="53"/>
        <v>3286.1904761904761</v>
      </c>
      <c r="AU64" s="111">
        <f t="shared" si="53"/>
        <v>3286.1904761904761</v>
      </c>
      <c r="AV64" s="111">
        <f t="shared" si="53"/>
        <v>3286.1904761904761</v>
      </c>
      <c r="AW64" s="111">
        <f t="shared" si="53"/>
        <v>3286.1904761904761</v>
      </c>
      <c r="AX64" s="111">
        <f t="shared" si="53"/>
        <v>3286.1904761904761</v>
      </c>
      <c r="AY64" s="111">
        <f t="shared" si="53"/>
        <v>3286.1904761904761</v>
      </c>
      <c r="AZ64" s="111">
        <f t="shared" si="53"/>
        <v>3286.1904761904761</v>
      </c>
      <c r="BA64" s="111">
        <f t="shared" si="53"/>
        <v>3384.7761904761905</v>
      </c>
      <c r="BB64" s="111">
        <f t="shared" si="53"/>
        <v>3384.7761904761905</v>
      </c>
      <c r="BC64" s="111">
        <f t="shared" si="53"/>
        <v>3384.7761904761905</v>
      </c>
      <c r="BD64" s="111">
        <f t="shared" si="53"/>
        <v>3384.7761904761905</v>
      </c>
      <c r="BE64" s="111">
        <f t="shared" si="53"/>
        <v>3384.7761904761905</v>
      </c>
      <c r="BF64" s="111">
        <f t="shared" si="53"/>
        <v>3384.7761904761905</v>
      </c>
      <c r="BG64" s="111">
        <f t="shared" si="53"/>
        <v>3384.7761904761905</v>
      </c>
      <c r="BH64" s="111">
        <f t="shared" si="53"/>
        <v>3384.7761904761905</v>
      </c>
      <c r="BI64" s="111">
        <f t="shared" si="53"/>
        <v>3384.7761904761905</v>
      </c>
      <c r="BJ64" s="111">
        <f t="shared" si="53"/>
        <v>3384.7761904761905</v>
      </c>
      <c r="BK64" s="111">
        <f t="shared" si="53"/>
        <v>3384.7761904761905</v>
      </c>
      <c r="BL64" s="111">
        <f t="shared" si="53"/>
        <v>3384.7761904761905</v>
      </c>
      <c r="BM64" s="111">
        <f t="shared" si="53"/>
        <v>3486.3194761904761</v>
      </c>
      <c r="BN64" s="111">
        <f t="shared" si="53"/>
        <v>3486.3194761904761</v>
      </c>
      <c r="BO64" s="111">
        <f t="shared" si="53"/>
        <v>3486.3194761904761</v>
      </c>
      <c r="BP64" s="111">
        <f t="shared" si="53"/>
        <v>3486.3194761904761</v>
      </c>
      <c r="BQ64" s="111">
        <f t="shared" si="53"/>
        <v>3486.3194761904761</v>
      </c>
      <c r="BR64" s="111">
        <f t="shared" si="53"/>
        <v>3486.3194761904761</v>
      </c>
      <c r="BS64" s="111">
        <f t="shared" si="53"/>
        <v>3486.3194761904761</v>
      </c>
      <c r="BT64" s="111">
        <f t="shared" si="53"/>
        <v>3486.3194761904761</v>
      </c>
      <c r="BU64" s="111">
        <f t="shared" si="53"/>
        <v>3486.3194761904761</v>
      </c>
    </row>
    <row r="65" spans="2:74">
      <c r="B65" s="108" t="s">
        <v>84</v>
      </c>
      <c r="E65" s="113" t="s">
        <v>95</v>
      </c>
      <c r="F65" s="33">
        <f t="shared" si="44"/>
        <v>0.14285714285714285</v>
      </c>
      <c r="J65" s="127">
        <f t="shared" si="34"/>
        <v>0.47857142857142854</v>
      </c>
      <c r="K65" s="128">
        <f t="shared" si="45"/>
        <v>38285.714285714283</v>
      </c>
      <c r="L65" s="129"/>
      <c r="M65" s="111">
        <f t="shared" ref="M65:AR65" si="54">(M$3&gt;=$F57)*($F65*SUM(M$74:M$76))</f>
        <v>0</v>
      </c>
      <c r="N65" s="111">
        <f t="shared" si="54"/>
        <v>0</v>
      </c>
      <c r="O65" s="111">
        <f t="shared" si="54"/>
        <v>0</v>
      </c>
      <c r="P65" s="111">
        <f t="shared" si="54"/>
        <v>0</v>
      </c>
      <c r="Q65" s="111">
        <f t="shared" si="54"/>
        <v>0</v>
      </c>
      <c r="R65" s="111">
        <f t="shared" si="54"/>
        <v>0</v>
      </c>
      <c r="S65" s="111">
        <f t="shared" si="54"/>
        <v>0</v>
      </c>
      <c r="T65" s="111">
        <f t="shared" si="54"/>
        <v>0</v>
      </c>
      <c r="U65" s="111">
        <f t="shared" si="54"/>
        <v>0</v>
      </c>
      <c r="V65" s="111">
        <f t="shared" si="54"/>
        <v>0</v>
      </c>
      <c r="W65" s="111">
        <f t="shared" si="54"/>
        <v>0</v>
      </c>
      <c r="X65" s="111">
        <f t="shared" si="54"/>
        <v>0</v>
      </c>
      <c r="Y65" s="111">
        <f t="shared" si="54"/>
        <v>0</v>
      </c>
      <c r="Z65" s="111">
        <f t="shared" si="54"/>
        <v>0</v>
      </c>
      <c r="AA65" s="111">
        <f t="shared" si="54"/>
        <v>0</v>
      </c>
      <c r="AB65" s="111">
        <f t="shared" si="54"/>
        <v>0</v>
      </c>
      <c r="AC65" s="111">
        <f t="shared" si="54"/>
        <v>0</v>
      </c>
      <c r="AD65" s="111">
        <f t="shared" si="54"/>
        <v>0</v>
      </c>
      <c r="AE65" s="111">
        <f t="shared" si="54"/>
        <v>0</v>
      </c>
      <c r="AF65" s="111">
        <f t="shared" si="54"/>
        <v>0</v>
      </c>
      <c r="AG65" s="111">
        <f t="shared" si="54"/>
        <v>0</v>
      </c>
      <c r="AH65" s="111">
        <f t="shared" si="54"/>
        <v>3190.4761904761908</v>
      </c>
      <c r="AI65" s="111">
        <f t="shared" si="54"/>
        <v>3190.4761904761908</v>
      </c>
      <c r="AJ65" s="111">
        <f t="shared" si="54"/>
        <v>3190.4761904761908</v>
      </c>
      <c r="AK65" s="111">
        <f t="shared" si="54"/>
        <v>3190.4761904761908</v>
      </c>
      <c r="AL65" s="111">
        <f t="shared" si="54"/>
        <v>3190.4761904761908</v>
      </c>
      <c r="AM65" s="111">
        <f t="shared" si="54"/>
        <v>3190.4761904761908</v>
      </c>
      <c r="AN65" s="111">
        <f t="shared" si="54"/>
        <v>3190.4761904761908</v>
      </c>
      <c r="AO65" s="111">
        <f t="shared" si="54"/>
        <v>3286.1904761904761</v>
      </c>
      <c r="AP65" s="111">
        <f t="shared" si="54"/>
        <v>3286.1904761904761</v>
      </c>
      <c r="AQ65" s="111">
        <f t="shared" si="54"/>
        <v>3286.1904761904761</v>
      </c>
      <c r="AR65" s="111">
        <f t="shared" si="54"/>
        <v>3286.1904761904761</v>
      </c>
      <c r="AS65" s="111">
        <f t="shared" ref="AS65:BU65" si="55">(AS$3&gt;=$F57)*($F65*SUM(AS$74:AS$76))</f>
        <v>3286.1904761904761</v>
      </c>
      <c r="AT65" s="111">
        <f t="shared" si="55"/>
        <v>3286.1904761904761</v>
      </c>
      <c r="AU65" s="111">
        <f t="shared" si="55"/>
        <v>3286.1904761904761</v>
      </c>
      <c r="AV65" s="111">
        <f t="shared" si="55"/>
        <v>3286.1904761904761</v>
      </c>
      <c r="AW65" s="111">
        <f t="shared" si="55"/>
        <v>3286.1904761904761</v>
      </c>
      <c r="AX65" s="111">
        <f t="shared" si="55"/>
        <v>3286.1904761904761</v>
      </c>
      <c r="AY65" s="111">
        <f t="shared" si="55"/>
        <v>3286.1904761904761</v>
      </c>
      <c r="AZ65" s="111">
        <f t="shared" si="55"/>
        <v>3286.1904761904761</v>
      </c>
      <c r="BA65" s="111">
        <f t="shared" si="55"/>
        <v>3384.7761904761905</v>
      </c>
      <c r="BB65" s="111">
        <f t="shared" si="55"/>
        <v>3384.7761904761905</v>
      </c>
      <c r="BC65" s="111">
        <f t="shared" si="55"/>
        <v>3384.7761904761905</v>
      </c>
      <c r="BD65" s="111">
        <f t="shared" si="55"/>
        <v>3384.7761904761905</v>
      </c>
      <c r="BE65" s="111">
        <f t="shared" si="55"/>
        <v>3384.7761904761905</v>
      </c>
      <c r="BF65" s="111">
        <f t="shared" si="55"/>
        <v>3384.7761904761905</v>
      </c>
      <c r="BG65" s="111">
        <f t="shared" si="55"/>
        <v>3384.7761904761905</v>
      </c>
      <c r="BH65" s="111">
        <f t="shared" si="55"/>
        <v>3384.7761904761905</v>
      </c>
      <c r="BI65" s="111">
        <f t="shared" si="55"/>
        <v>3384.7761904761905</v>
      </c>
      <c r="BJ65" s="111">
        <f t="shared" si="55"/>
        <v>3384.7761904761905</v>
      </c>
      <c r="BK65" s="111">
        <f t="shared" si="55"/>
        <v>3384.7761904761905</v>
      </c>
      <c r="BL65" s="111">
        <f t="shared" si="55"/>
        <v>3384.7761904761905</v>
      </c>
      <c r="BM65" s="111">
        <f t="shared" si="55"/>
        <v>3486.3194761904761</v>
      </c>
      <c r="BN65" s="111">
        <f t="shared" si="55"/>
        <v>3486.3194761904761</v>
      </c>
      <c r="BO65" s="111">
        <f t="shared" si="55"/>
        <v>3486.3194761904761</v>
      </c>
      <c r="BP65" s="111">
        <f t="shared" si="55"/>
        <v>3486.3194761904761</v>
      </c>
      <c r="BQ65" s="111">
        <f t="shared" si="55"/>
        <v>3486.3194761904761</v>
      </c>
      <c r="BR65" s="111">
        <f t="shared" si="55"/>
        <v>3486.3194761904761</v>
      </c>
      <c r="BS65" s="111">
        <f t="shared" si="55"/>
        <v>3486.3194761904761</v>
      </c>
      <c r="BT65" s="111">
        <f t="shared" si="55"/>
        <v>3486.3194761904761</v>
      </c>
      <c r="BU65" s="111">
        <f t="shared" si="55"/>
        <v>3486.3194761904761</v>
      </c>
    </row>
    <row r="66" spans="2:74">
      <c r="B66" s="108" t="s">
        <v>85</v>
      </c>
      <c r="E66" s="113" t="s">
        <v>95</v>
      </c>
      <c r="F66" s="33">
        <f t="shared" si="44"/>
        <v>0.14285714285714285</v>
      </c>
      <c r="J66" s="34">
        <f t="shared" si="34"/>
        <v>0.47857142857142854</v>
      </c>
      <c r="K66" s="20">
        <f t="shared" si="45"/>
        <v>38285.714285714283</v>
      </c>
      <c r="L66" s="11"/>
      <c r="M66" s="111">
        <f t="shared" ref="M66:AR66" si="56">(M$3&gt;=$F58)*($F66*SUM(M$74:M$76))</f>
        <v>0</v>
      </c>
      <c r="N66" s="111">
        <f t="shared" si="56"/>
        <v>0</v>
      </c>
      <c r="O66" s="111">
        <f t="shared" si="56"/>
        <v>0</v>
      </c>
      <c r="P66" s="111">
        <f t="shared" si="56"/>
        <v>0</v>
      </c>
      <c r="Q66" s="111">
        <f t="shared" si="56"/>
        <v>0</v>
      </c>
      <c r="R66" s="111">
        <f t="shared" si="56"/>
        <v>0</v>
      </c>
      <c r="S66" s="111">
        <f t="shared" si="56"/>
        <v>0</v>
      </c>
      <c r="T66" s="111">
        <f t="shared" si="56"/>
        <v>0</v>
      </c>
      <c r="U66" s="111">
        <f t="shared" si="56"/>
        <v>0</v>
      </c>
      <c r="V66" s="111">
        <f t="shared" si="56"/>
        <v>0</v>
      </c>
      <c r="W66" s="111">
        <f t="shared" si="56"/>
        <v>0</v>
      </c>
      <c r="X66" s="111">
        <f t="shared" si="56"/>
        <v>0</v>
      </c>
      <c r="Y66" s="111">
        <f t="shared" si="56"/>
        <v>0</v>
      </c>
      <c r="Z66" s="111">
        <f t="shared" si="56"/>
        <v>0</v>
      </c>
      <c r="AA66" s="111">
        <f t="shared" si="56"/>
        <v>0</v>
      </c>
      <c r="AB66" s="111">
        <f t="shared" si="56"/>
        <v>0</v>
      </c>
      <c r="AC66" s="111">
        <f t="shared" si="56"/>
        <v>0</v>
      </c>
      <c r="AD66" s="111">
        <f t="shared" si="56"/>
        <v>0</v>
      </c>
      <c r="AE66" s="111">
        <f t="shared" si="56"/>
        <v>0</v>
      </c>
      <c r="AF66" s="111">
        <f t="shared" si="56"/>
        <v>0</v>
      </c>
      <c r="AG66" s="111">
        <f t="shared" si="56"/>
        <v>0</v>
      </c>
      <c r="AH66" s="111">
        <f t="shared" si="56"/>
        <v>0</v>
      </c>
      <c r="AI66" s="111">
        <f t="shared" si="56"/>
        <v>3190.4761904761908</v>
      </c>
      <c r="AJ66" s="111">
        <f t="shared" si="56"/>
        <v>3190.4761904761908</v>
      </c>
      <c r="AK66" s="111">
        <f t="shared" si="56"/>
        <v>3190.4761904761908</v>
      </c>
      <c r="AL66" s="111">
        <f t="shared" si="56"/>
        <v>3190.4761904761908</v>
      </c>
      <c r="AM66" s="111">
        <f t="shared" si="56"/>
        <v>3190.4761904761908</v>
      </c>
      <c r="AN66" s="111">
        <f t="shared" si="56"/>
        <v>3190.4761904761908</v>
      </c>
      <c r="AO66" s="111">
        <f t="shared" si="56"/>
        <v>3286.1904761904761</v>
      </c>
      <c r="AP66" s="111">
        <f t="shared" si="56"/>
        <v>3286.1904761904761</v>
      </c>
      <c r="AQ66" s="111">
        <f t="shared" si="56"/>
        <v>3286.1904761904761</v>
      </c>
      <c r="AR66" s="111">
        <f t="shared" si="56"/>
        <v>3286.1904761904761</v>
      </c>
      <c r="AS66" s="111">
        <f t="shared" ref="AS66:BU66" si="57">(AS$3&gt;=$F58)*($F66*SUM(AS$74:AS$76))</f>
        <v>3286.1904761904761</v>
      </c>
      <c r="AT66" s="111">
        <f t="shared" si="57"/>
        <v>3286.1904761904761</v>
      </c>
      <c r="AU66" s="111">
        <f t="shared" si="57"/>
        <v>3286.1904761904761</v>
      </c>
      <c r="AV66" s="111">
        <f t="shared" si="57"/>
        <v>3286.1904761904761</v>
      </c>
      <c r="AW66" s="111">
        <f t="shared" si="57"/>
        <v>3286.1904761904761</v>
      </c>
      <c r="AX66" s="111">
        <f t="shared" si="57"/>
        <v>3286.1904761904761</v>
      </c>
      <c r="AY66" s="111">
        <f t="shared" si="57"/>
        <v>3286.1904761904761</v>
      </c>
      <c r="AZ66" s="111">
        <f t="shared" si="57"/>
        <v>3286.1904761904761</v>
      </c>
      <c r="BA66" s="111">
        <f t="shared" si="57"/>
        <v>3384.7761904761905</v>
      </c>
      <c r="BB66" s="111">
        <f t="shared" si="57"/>
        <v>3384.7761904761905</v>
      </c>
      <c r="BC66" s="111">
        <f t="shared" si="57"/>
        <v>3384.7761904761905</v>
      </c>
      <c r="BD66" s="111">
        <f t="shared" si="57"/>
        <v>3384.7761904761905</v>
      </c>
      <c r="BE66" s="111">
        <f t="shared" si="57"/>
        <v>3384.7761904761905</v>
      </c>
      <c r="BF66" s="111">
        <f t="shared" si="57"/>
        <v>3384.7761904761905</v>
      </c>
      <c r="BG66" s="111">
        <f t="shared" si="57"/>
        <v>3384.7761904761905</v>
      </c>
      <c r="BH66" s="111">
        <f t="shared" si="57"/>
        <v>3384.7761904761905</v>
      </c>
      <c r="BI66" s="111">
        <f t="shared" si="57"/>
        <v>3384.7761904761905</v>
      </c>
      <c r="BJ66" s="111">
        <f t="shared" si="57"/>
        <v>3384.7761904761905</v>
      </c>
      <c r="BK66" s="111">
        <f t="shared" si="57"/>
        <v>3384.7761904761905</v>
      </c>
      <c r="BL66" s="111">
        <f t="shared" si="57"/>
        <v>3384.7761904761905</v>
      </c>
      <c r="BM66" s="111">
        <f t="shared" si="57"/>
        <v>3486.3194761904761</v>
      </c>
      <c r="BN66" s="111">
        <f t="shared" si="57"/>
        <v>3486.3194761904761</v>
      </c>
      <c r="BO66" s="111">
        <f t="shared" si="57"/>
        <v>3486.3194761904761</v>
      </c>
      <c r="BP66" s="111">
        <f t="shared" si="57"/>
        <v>3486.3194761904761</v>
      </c>
      <c r="BQ66" s="111">
        <f t="shared" si="57"/>
        <v>3486.3194761904761</v>
      </c>
      <c r="BR66" s="111">
        <f t="shared" si="57"/>
        <v>3486.3194761904761</v>
      </c>
      <c r="BS66" s="111">
        <f t="shared" si="57"/>
        <v>3486.3194761904761</v>
      </c>
      <c r="BT66" s="111">
        <f t="shared" si="57"/>
        <v>3486.3194761904761</v>
      </c>
      <c r="BU66" s="111">
        <f t="shared" si="57"/>
        <v>3486.3194761904761</v>
      </c>
    </row>
    <row r="67" spans="2:74">
      <c r="B67" s="121" t="s">
        <v>86</v>
      </c>
      <c r="J67" s="127">
        <f t="shared" si="34"/>
        <v>3.35</v>
      </c>
      <c r="K67" s="128">
        <f>SUM(K60:K66)</f>
        <v>268000</v>
      </c>
      <c r="L67" s="129"/>
      <c r="M67" s="111">
        <f>SUM(M60:M66)</f>
        <v>0</v>
      </c>
      <c r="N67" s="111">
        <f t="shared" ref="N67:BU67" si="58">SUM(N60:N66)</f>
        <v>0</v>
      </c>
      <c r="O67" s="111">
        <f t="shared" si="58"/>
        <v>0</v>
      </c>
      <c r="P67" s="111">
        <f t="shared" si="58"/>
        <v>0</v>
      </c>
      <c r="Q67" s="111">
        <f t="shared" si="58"/>
        <v>0</v>
      </c>
      <c r="R67" s="111">
        <f t="shared" si="58"/>
        <v>0</v>
      </c>
      <c r="S67" s="111">
        <f t="shared" si="58"/>
        <v>0</v>
      </c>
      <c r="T67" s="111">
        <f t="shared" si="58"/>
        <v>0</v>
      </c>
      <c r="U67" s="111">
        <f t="shared" si="58"/>
        <v>0</v>
      </c>
      <c r="V67" s="111">
        <f t="shared" si="58"/>
        <v>0</v>
      </c>
      <c r="W67" s="111">
        <f t="shared" si="58"/>
        <v>0</v>
      </c>
      <c r="X67" s="111">
        <f t="shared" si="58"/>
        <v>0</v>
      </c>
      <c r="Y67" s="111">
        <f t="shared" si="58"/>
        <v>0</v>
      </c>
      <c r="Z67" s="111">
        <f t="shared" si="58"/>
        <v>0</v>
      </c>
      <c r="AA67" s="111">
        <f t="shared" si="58"/>
        <v>0</v>
      </c>
      <c r="AB67" s="111">
        <f t="shared" si="58"/>
        <v>0</v>
      </c>
      <c r="AC67" s="111">
        <f t="shared" si="58"/>
        <v>3190.4761904761908</v>
      </c>
      <c r="AD67" s="111">
        <f t="shared" si="58"/>
        <v>6380.9523809523816</v>
      </c>
      <c r="AE67" s="111">
        <f t="shared" si="58"/>
        <v>9571.4285714285725</v>
      </c>
      <c r="AF67" s="111">
        <f t="shared" si="58"/>
        <v>12761.904761904763</v>
      </c>
      <c r="AG67" s="111">
        <f t="shared" si="58"/>
        <v>15952.380952380954</v>
      </c>
      <c r="AH67" s="111">
        <f t="shared" si="58"/>
        <v>19142.857142857145</v>
      </c>
      <c r="AI67" s="111">
        <f t="shared" si="58"/>
        <v>22333.333333333336</v>
      </c>
      <c r="AJ67" s="111">
        <f t="shared" si="58"/>
        <v>22333.333333333336</v>
      </c>
      <c r="AK67" s="111">
        <f t="shared" si="58"/>
        <v>22333.333333333336</v>
      </c>
      <c r="AL67" s="111">
        <f t="shared" si="58"/>
        <v>22333.333333333336</v>
      </c>
      <c r="AM67" s="111">
        <f t="shared" si="58"/>
        <v>22333.333333333336</v>
      </c>
      <c r="AN67" s="111">
        <f t="shared" si="58"/>
        <v>22333.333333333336</v>
      </c>
      <c r="AO67" s="111">
        <f t="shared" si="58"/>
        <v>23003.333333333336</v>
      </c>
      <c r="AP67" s="111">
        <f t="shared" si="58"/>
        <v>23003.333333333336</v>
      </c>
      <c r="AQ67" s="111">
        <f t="shared" si="58"/>
        <v>23003.333333333336</v>
      </c>
      <c r="AR67" s="111">
        <f t="shared" si="58"/>
        <v>23003.333333333336</v>
      </c>
      <c r="AS67" s="111">
        <f t="shared" si="58"/>
        <v>23003.333333333336</v>
      </c>
      <c r="AT67" s="111">
        <f t="shared" si="58"/>
        <v>23003.333333333336</v>
      </c>
      <c r="AU67" s="111">
        <f t="shared" si="58"/>
        <v>23003.333333333336</v>
      </c>
      <c r="AV67" s="111">
        <f t="shared" si="58"/>
        <v>23003.333333333336</v>
      </c>
      <c r="AW67" s="111">
        <f t="shared" si="58"/>
        <v>23003.333333333336</v>
      </c>
      <c r="AX67" s="111">
        <f t="shared" si="58"/>
        <v>23003.333333333336</v>
      </c>
      <c r="AY67" s="111">
        <f t="shared" si="58"/>
        <v>23003.333333333336</v>
      </c>
      <c r="AZ67" s="111">
        <f t="shared" si="58"/>
        <v>23003.333333333336</v>
      </c>
      <c r="BA67" s="111">
        <f t="shared" si="58"/>
        <v>23693.433333333334</v>
      </c>
      <c r="BB67" s="111">
        <f t="shared" si="58"/>
        <v>23693.433333333334</v>
      </c>
      <c r="BC67" s="111">
        <f t="shared" si="58"/>
        <v>23693.433333333334</v>
      </c>
      <c r="BD67" s="111">
        <f t="shared" si="58"/>
        <v>23693.433333333334</v>
      </c>
      <c r="BE67" s="111">
        <f t="shared" si="58"/>
        <v>23693.433333333334</v>
      </c>
      <c r="BF67" s="111">
        <f t="shared" si="58"/>
        <v>23693.433333333334</v>
      </c>
      <c r="BG67" s="111">
        <f t="shared" si="58"/>
        <v>23693.433333333334</v>
      </c>
      <c r="BH67" s="111">
        <f t="shared" si="58"/>
        <v>23693.433333333334</v>
      </c>
      <c r="BI67" s="111">
        <f t="shared" si="58"/>
        <v>23693.433333333334</v>
      </c>
      <c r="BJ67" s="111">
        <f t="shared" si="58"/>
        <v>23693.433333333334</v>
      </c>
      <c r="BK67" s="111">
        <f t="shared" si="58"/>
        <v>23693.433333333334</v>
      </c>
      <c r="BL67" s="111">
        <f t="shared" si="58"/>
        <v>23693.433333333334</v>
      </c>
      <c r="BM67" s="111">
        <f t="shared" si="58"/>
        <v>24404.236333333327</v>
      </c>
      <c r="BN67" s="111">
        <f t="shared" si="58"/>
        <v>24404.236333333327</v>
      </c>
      <c r="BO67" s="111">
        <f t="shared" si="58"/>
        <v>24404.236333333327</v>
      </c>
      <c r="BP67" s="111">
        <f t="shared" si="58"/>
        <v>24404.236333333327</v>
      </c>
      <c r="BQ67" s="111">
        <f t="shared" si="58"/>
        <v>24404.236333333327</v>
      </c>
      <c r="BR67" s="111">
        <f t="shared" si="58"/>
        <v>24404.236333333327</v>
      </c>
      <c r="BS67" s="111">
        <f t="shared" si="58"/>
        <v>24404.236333333327</v>
      </c>
      <c r="BT67" s="111">
        <f t="shared" si="58"/>
        <v>24404.236333333327</v>
      </c>
      <c r="BU67" s="111">
        <f t="shared" si="58"/>
        <v>24404.236333333327</v>
      </c>
    </row>
    <row r="69" spans="2:74">
      <c r="B69" s="121" t="s">
        <v>87</v>
      </c>
      <c r="J69" s="127">
        <f>K69/$K$8</f>
        <v>23.35</v>
      </c>
      <c r="K69" s="128">
        <f>K67+K59</f>
        <v>1868000.0000000002</v>
      </c>
      <c r="L69" s="129"/>
      <c r="M69" s="111">
        <f>M67+M59</f>
        <v>0</v>
      </c>
      <c r="N69" s="111">
        <f t="shared" ref="N69:BU69" si="59">N67+N59</f>
        <v>0</v>
      </c>
      <c r="O69" s="111">
        <f t="shared" si="59"/>
        <v>0</v>
      </c>
      <c r="P69" s="111">
        <f t="shared" si="59"/>
        <v>0</v>
      </c>
      <c r="Q69" s="111">
        <f t="shared" si="59"/>
        <v>0</v>
      </c>
      <c r="R69" s="111">
        <f t="shared" si="59"/>
        <v>0</v>
      </c>
      <c r="S69" s="111">
        <f t="shared" si="59"/>
        <v>0</v>
      </c>
      <c r="T69" s="111">
        <f t="shared" si="59"/>
        <v>0</v>
      </c>
      <c r="U69" s="111">
        <f t="shared" si="59"/>
        <v>0</v>
      </c>
      <c r="V69" s="111">
        <f t="shared" si="59"/>
        <v>0</v>
      </c>
      <c r="W69" s="111">
        <f t="shared" si="59"/>
        <v>0</v>
      </c>
      <c r="X69" s="111">
        <f t="shared" si="59"/>
        <v>0</v>
      </c>
      <c r="Y69" s="111">
        <f t="shared" si="59"/>
        <v>0</v>
      </c>
      <c r="Z69" s="111">
        <f t="shared" si="59"/>
        <v>0</v>
      </c>
      <c r="AA69" s="111">
        <f t="shared" si="59"/>
        <v>0</v>
      </c>
      <c r="AB69" s="111">
        <f t="shared" si="59"/>
        <v>0</v>
      </c>
      <c r="AC69" s="111">
        <f t="shared" si="59"/>
        <v>3190.4761904761908</v>
      </c>
      <c r="AD69" s="111">
        <f t="shared" si="59"/>
        <v>6380.9523809523816</v>
      </c>
      <c r="AE69" s="111">
        <f t="shared" si="59"/>
        <v>9571.4285714285725</v>
      </c>
      <c r="AF69" s="111">
        <f t="shared" si="59"/>
        <v>31809.523809523813</v>
      </c>
      <c r="AG69" s="111">
        <f t="shared" si="59"/>
        <v>54047.619047619053</v>
      </c>
      <c r="AH69" s="111">
        <f t="shared" si="59"/>
        <v>76285.71428571429</v>
      </c>
      <c r="AI69" s="111">
        <f t="shared" si="59"/>
        <v>98523.809523809527</v>
      </c>
      <c r="AJ69" s="111">
        <f t="shared" si="59"/>
        <v>117571.42857142858</v>
      </c>
      <c r="AK69" s="111">
        <f t="shared" si="59"/>
        <v>136619.04761904763</v>
      </c>
      <c r="AL69" s="111">
        <f t="shared" si="59"/>
        <v>155666.66666666669</v>
      </c>
      <c r="AM69" s="111">
        <f t="shared" si="59"/>
        <v>155666.66666666669</v>
      </c>
      <c r="AN69" s="111">
        <f t="shared" si="59"/>
        <v>155666.66666666669</v>
      </c>
      <c r="AO69" s="111">
        <f t="shared" si="59"/>
        <v>156908.09523809527</v>
      </c>
      <c r="AP69" s="111">
        <f t="shared" si="59"/>
        <v>157479.52380952385</v>
      </c>
      <c r="AQ69" s="111">
        <f t="shared" si="59"/>
        <v>158050.95238095243</v>
      </c>
      <c r="AR69" s="111">
        <f t="shared" si="59"/>
        <v>158622.38095238098</v>
      </c>
      <c r="AS69" s="111">
        <f t="shared" si="59"/>
        <v>159193.80952380956</v>
      </c>
      <c r="AT69" s="111">
        <f t="shared" si="59"/>
        <v>159765.23809523811</v>
      </c>
      <c r="AU69" s="111">
        <f t="shared" si="59"/>
        <v>160336.66666666669</v>
      </c>
      <c r="AV69" s="111">
        <f t="shared" si="59"/>
        <v>160336.66666666669</v>
      </c>
      <c r="AW69" s="111">
        <f t="shared" si="59"/>
        <v>160336.66666666669</v>
      </c>
      <c r="AX69" s="111">
        <f t="shared" si="59"/>
        <v>160336.66666666669</v>
      </c>
      <c r="AY69" s="111">
        <f t="shared" si="59"/>
        <v>160336.66666666669</v>
      </c>
      <c r="AZ69" s="111">
        <f t="shared" si="59"/>
        <v>160336.66666666669</v>
      </c>
      <c r="BA69" s="111">
        <f t="shared" si="59"/>
        <v>161615.33809523808</v>
      </c>
      <c r="BB69" s="111">
        <f t="shared" si="59"/>
        <v>162203.90952380956</v>
      </c>
      <c r="BC69" s="111">
        <f t="shared" si="59"/>
        <v>162792.48095238098</v>
      </c>
      <c r="BD69" s="111">
        <f t="shared" si="59"/>
        <v>163381.0523809524</v>
      </c>
      <c r="BE69" s="111">
        <f t="shared" si="59"/>
        <v>163969.62380952382</v>
      </c>
      <c r="BF69" s="111">
        <f t="shared" si="59"/>
        <v>164558.19523809524</v>
      </c>
      <c r="BG69" s="111">
        <f t="shared" si="59"/>
        <v>165146.76666666666</v>
      </c>
      <c r="BH69" s="111">
        <f t="shared" si="59"/>
        <v>165146.76666666666</v>
      </c>
      <c r="BI69" s="111">
        <f t="shared" si="59"/>
        <v>165146.76666666666</v>
      </c>
      <c r="BJ69" s="111">
        <f t="shared" si="59"/>
        <v>165146.76666666666</v>
      </c>
      <c r="BK69" s="111">
        <f t="shared" si="59"/>
        <v>165146.76666666666</v>
      </c>
      <c r="BL69" s="111">
        <f t="shared" si="59"/>
        <v>165146.76666666666</v>
      </c>
      <c r="BM69" s="111">
        <f t="shared" si="59"/>
        <v>166463.79823809527</v>
      </c>
      <c r="BN69" s="111">
        <f t="shared" si="59"/>
        <v>167070.02680952384</v>
      </c>
      <c r="BO69" s="111">
        <f t="shared" si="59"/>
        <v>167676.25538095241</v>
      </c>
      <c r="BP69" s="111">
        <f t="shared" si="59"/>
        <v>168282.48395238098</v>
      </c>
      <c r="BQ69" s="111">
        <f t="shared" si="59"/>
        <v>168888.71252380955</v>
      </c>
      <c r="BR69" s="111">
        <f t="shared" si="59"/>
        <v>169494.94109523811</v>
      </c>
      <c r="BS69" s="111">
        <f t="shared" si="59"/>
        <v>170101.16966666668</v>
      </c>
      <c r="BT69" s="111">
        <f t="shared" si="59"/>
        <v>170101.16966666668</v>
      </c>
      <c r="BU69" s="111">
        <f t="shared" si="59"/>
        <v>170101.16966666668</v>
      </c>
    </row>
    <row r="70" spans="2:74" ht="17.25">
      <c r="B70" s="130" t="s">
        <v>88</v>
      </c>
      <c r="I70" s="29">
        <v>0.05</v>
      </c>
      <c r="J70" s="127">
        <f>K70/$K$8</f>
        <v>1.1675000000000002</v>
      </c>
      <c r="K70" s="131">
        <f>I70*K69</f>
        <v>93400.000000000015</v>
      </c>
      <c r="L70" s="127"/>
      <c r="M70" s="14">
        <f>(M3&gt;=$G$59)*($I$70*-M69)</f>
        <v>0</v>
      </c>
      <c r="N70" s="14">
        <f t="shared" ref="N70:BU70" si="60">(N3&gt;=$G$59)*($I$70*-N69)</f>
        <v>0</v>
      </c>
      <c r="O70" s="14">
        <f t="shared" si="60"/>
        <v>0</v>
      </c>
      <c r="P70" s="14">
        <f t="shared" si="60"/>
        <v>0</v>
      </c>
      <c r="Q70" s="14">
        <f t="shared" si="60"/>
        <v>0</v>
      </c>
      <c r="R70" s="14">
        <f t="shared" si="60"/>
        <v>0</v>
      </c>
      <c r="S70" s="14">
        <f t="shared" si="60"/>
        <v>0</v>
      </c>
      <c r="T70" s="14">
        <f t="shared" si="60"/>
        <v>0</v>
      </c>
      <c r="U70" s="14">
        <f t="shared" si="60"/>
        <v>0</v>
      </c>
      <c r="V70" s="14">
        <f t="shared" si="60"/>
        <v>0</v>
      </c>
      <c r="W70" s="14">
        <f t="shared" si="60"/>
        <v>0</v>
      </c>
      <c r="X70" s="14">
        <f t="shared" si="60"/>
        <v>0</v>
      </c>
      <c r="Y70" s="14">
        <f t="shared" si="60"/>
        <v>0</v>
      </c>
      <c r="Z70" s="14">
        <f t="shared" si="60"/>
        <v>0</v>
      </c>
      <c r="AA70" s="14">
        <f t="shared" si="60"/>
        <v>0</v>
      </c>
      <c r="AB70" s="14">
        <f t="shared" si="60"/>
        <v>0</v>
      </c>
      <c r="AC70" s="14">
        <f t="shared" si="60"/>
        <v>0</v>
      </c>
      <c r="AD70" s="14">
        <f t="shared" si="60"/>
        <v>0</v>
      </c>
      <c r="AE70" s="14">
        <f t="shared" si="60"/>
        <v>0</v>
      </c>
      <c r="AF70" s="14">
        <f t="shared" si="60"/>
        <v>0</v>
      </c>
      <c r="AG70" s="14">
        <f t="shared" si="60"/>
        <v>0</v>
      </c>
      <c r="AH70" s="14">
        <f t="shared" si="60"/>
        <v>0</v>
      </c>
      <c r="AI70" s="14">
        <f t="shared" si="60"/>
        <v>0</v>
      </c>
      <c r="AJ70" s="14">
        <f t="shared" si="60"/>
        <v>0</v>
      </c>
      <c r="AK70" s="14">
        <f t="shared" si="60"/>
        <v>0</v>
      </c>
      <c r="AL70" s="14">
        <f t="shared" si="60"/>
        <v>-7783.3333333333348</v>
      </c>
      <c r="AM70" s="14">
        <f t="shared" si="60"/>
        <v>-7783.3333333333348</v>
      </c>
      <c r="AN70" s="14">
        <f t="shared" si="60"/>
        <v>-7783.3333333333348</v>
      </c>
      <c r="AO70" s="14">
        <f t="shared" si="60"/>
        <v>-7845.4047619047633</v>
      </c>
      <c r="AP70" s="14">
        <f t="shared" si="60"/>
        <v>-7873.9761904761926</v>
      </c>
      <c r="AQ70" s="14">
        <f t="shared" si="60"/>
        <v>-7902.547619047622</v>
      </c>
      <c r="AR70" s="14">
        <f t="shared" si="60"/>
        <v>-7931.1190476190495</v>
      </c>
      <c r="AS70" s="14">
        <f t="shared" si="60"/>
        <v>-7959.690476190478</v>
      </c>
      <c r="AT70" s="14">
        <f t="shared" si="60"/>
        <v>-7988.2619047619055</v>
      </c>
      <c r="AU70" s="14">
        <f t="shared" si="60"/>
        <v>-8016.8333333333348</v>
      </c>
      <c r="AV70" s="14">
        <f t="shared" si="60"/>
        <v>-8016.8333333333348</v>
      </c>
      <c r="AW70" s="14">
        <f t="shared" si="60"/>
        <v>-8016.8333333333348</v>
      </c>
      <c r="AX70" s="14">
        <f t="shared" si="60"/>
        <v>-8016.8333333333348</v>
      </c>
      <c r="AY70" s="14">
        <f t="shared" si="60"/>
        <v>-8016.8333333333348</v>
      </c>
      <c r="AZ70" s="14">
        <f t="shared" si="60"/>
        <v>-8016.8333333333348</v>
      </c>
      <c r="BA70" s="14">
        <f t="shared" si="60"/>
        <v>-8080.7669047619047</v>
      </c>
      <c r="BB70" s="14">
        <f t="shared" si="60"/>
        <v>-8110.1954761904781</v>
      </c>
      <c r="BC70" s="14">
        <f t="shared" si="60"/>
        <v>-8139.6240476190496</v>
      </c>
      <c r="BD70" s="14">
        <f t="shared" si="60"/>
        <v>-8169.0526190476203</v>
      </c>
      <c r="BE70" s="14">
        <f t="shared" si="60"/>
        <v>-8198.4811904761918</v>
      </c>
      <c r="BF70" s="14">
        <f t="shared" si="60"/>
        <v>-8227.9097619047625</v>
      </c>
      <c r="BG70" s="14">
        <f t="shared" si="60"/>
        <v>-8257.3383333333331</v>
      </c>
      <c r="BH70" s="14">
        <f t="shared" si="60"/>
        <v>-8257.3383333333331</v>
      </c>
      <c r="BI70" s="14">
        <f t="shared" si="60"/>
        <v>-8257.3383333333331</v>
      </c>
      <c r="BJ70" s="14">
        <f t="shared" si="60"/>
        <v>-8257.3383333333331</v>
      </c>
      <c r="BK70" s="14">
        <f t="shared" si="60"/>
        <v>-8257.3383333333331</v>
      </c>
      <c r="BL70" s="14">
        <f t="shared" si="60"/>
        <v>-8257.3383333333331</v>
      </c>
      <c r="BM70" s="14">
        <f t="shared" si="60"/>
        <v>-8323.1899119047648</v>
      </c>
      <c r="BN70" s="14">
        <f t="shared" si="60"/>
        <v>-8353.5013404761921</v>
      </c>
      <c r="BO70" s="14">
        <f t="shared" si="60"/>
        <v>-8383.8127690476213</v>
      </c>
      <c r="BP70" s="14">
        <f t="shared" si="60"/>
        <v>-8414.1241976190486</v>
      </c>
      <c r="BQ70" s="14">
        <f t="shared" si="60"/>
        <v>-8444.4356261904777</v>
      </c>
      <c r="BR70" s="14">
        <f t="shared" si="60"/>
        <v>-8474.7470547619068</v>
      </c>
      <c r="BS70" s="14">
        <f t="shared" si="60"/>
        <v>-8505.0584833333342</v>
      </c>
      <c r="BT70" s="14">
        <f t="shared" si="60"/>
        <v>-8505.0584833333342</v>
      </c>
      <c r="BU70" s="14">
        <f t="shared" si="60"/>
        <v>-8505.0584833333342</v>
      </c>
    </row>
    <row r="71" spans="2:74">
      <c r="B71" s="88" t="s">
        <v>1</v>
      </c>
      <c r="J71" s="127">
        <f>K71/$K$8</f>
        <v>22.182500000000005</v>
      </c>
      <c r="K71" s="128">
        <f>K69-K70</f>
        <v>1774600.0000000002</v>
      </c>
      <c r="L71" s="129"/>
      <c r="M71" s="111">
        <f>M69+M70</f>
        <v>0</v>
      </c>
      <c r="N71" s="111">
        <f t="shared" ref="N71:BU71" si="61">N69+N70</f>
        <v>0</v>
      </c>
      <c r="O71" s="111">
        <f t="shared" si="61"/>
        <v>0</v>
      </c>
      <c r="P71" s="111">
        <f t="shared" si="61"/>
        <v>0</v>
      </c>
      <c r="Q71" s="111">
        <f t="shared" si="61"/>
        <v>0</v>
      </c>
      <c r="R71" s="111">
        <f t="shared" si="61"/>
        <v>0</v>
      </c>
      <c r="S71" s="111">
        <f t="shared" si="61"/>
        <v>0</v>
      </c>
      <c r="T71" s="111">
        <f t="shared" si="61"/>
        <v>0</v>
      </c>
      <c r="U71" s="111">
        <f t="shared" si="61"/>
        <v>0</v>
      </c>
      <c r="V71" s="111">
        <f t="shared" si="61"/>
        <v>0</v>
      </c>
      <c r="W71" s="111">
        <f t="shared" si="61"/>
        <v>0</v>
      </c>
      <c r="X71" s="111">
        <f t="shared" si="61"/>
        <v>0</v>
      </c>
      <c r="Y71" s="111">
        <f t="shared" si="61"/>
        <v>0</v>
      </c>
      <c r="Z71" s="111">
        <f t="shared" si="61"/>
        <v>0</v>
      </c>
      <c r="AA71" s="111">
        <f t="shared" si="61"/>
        <v>0</v>
      </c>
      <c r="AB71" s="111">
        <f t="shared" si="61"/>
        <v>0</v>
      </c>
      <c r="AC71" s="111">
        <f t="shared" si="61"/>
        <v>3190.4761904761908</v>
      </c>
      <c r="AD71" s="111">
        <f t="shared" si="61"/>
        <v>6380.9523809523816</v>
      </c>
      <c r="AE71" s="111">
        <f t="shared" si="61"/>
        <v>9571.4285714285725</v>
      </c>
      <c r="AF71" s="111">
        <f t="shared" si="61"/>
        <v>31809.523809523813</v>
      </c>
      <c r="AG71" s="111">
        <f t="shared" si="61"/>
        <v>54047.619047619053</v>
      </c>
      <c r="AH71" s="111">
        <f t="shared" si="61"/>
        <v>76285.71428571429</v>
      </c>
      <c r="AI71" s="111">
        <f t="shared" si="61"/>
        <v>98523.809523809527</v>
      </c>
      <c r="AJ71" s="111">
        <f t="shared" si="61"/>
        <v>117571.42857142858</v>
      </c>
      <c r="AK71" s="111">
        <f t="shared" si="61"/>
        <v>136619.04761904763</v>
      </c>
      <c r="AL71" s="111">
        <f t="shared" si="61"/>
        <v>147883.33333333334</v>
      </c>
      <c r="AM71" s="111">
        <f t="shared" si="61"/>
        <v>147883.33333333334</v>
      </c>
      <c r="AN71" s="111">
        <f t="shared" si="61"/>
        <v>147883.33333333334</v>
      </c>
      <c r="AO71" s="111">
        <f t="shared" si="61"/>
        <v>149062.6904761905</v>
      </c>
      <c r="AP71" s="111">
        <f t="shared" si="61"/>
        <v>149605.54761904766</v>
      </c>
      <c r="AQ71" s="111">
        <f t="shared" si="61"/>
        <v>150148.40476190479</v>
      </c>
      <c r="AR71" s="111">
        <f t="shared" si="61"/>
        <v>150691.26190476192</v>
      </c>
      <c r="AS71" s="111">
        <f t="shared" si="61"/>
        <v>151234.11904761908</v>
      </c>
      <c r="AT71" s="111">
        <f t="shared" si="61"/>
        <v>151776.97619047621</v>
      </c>
      <c r="AU71" s="111">
        <f t="shared" si="61"/>
        <v>152319.83333333334</v>
      </c>
      <c r="AV71" s="111">
        <f t="shared" si="61"/>
        <v>152319.83333333334</v>
      </c>
      <c r="AW71" s="111">
        <f t="shared" si="61"/>
        <v>152319.83333333334</v>
      </c>
      <c r="AX71" s="111">
        <f t="shared" si="61"/>
        <v>152319.83333333334</v>
      </c>
      <c r="AY71" s="111">
        <f t="shared" si="61"/>
        <v>152319.83333333334</v>
      </c>
      <c r="AZ71" s="111">
        <f t="shared" si="61"/>
        <v>152319.83333333334</v>
      </c>
      <c r="BA71" s="111">
        <f t="shared" si="61"/>
        <v>153534.57119047618</v>
      </c>
      <c r="BB71" s="111">
        <f t="shared" si="61"/>
        <v>154093.71404761908</v>
      </c>
      <c r="BC71" s="111">
        <f t="shared" si="61"/>
        <v>154652.85690476192</v>
      </c>
      <c r="BD71" s="111">
        <f t="shared" si="61"/>
        <v>155211.99976190479</v>
      </c>
      <c r="BE71" s="111">
        <f t="shared" si="61"/>
        <v>155771.14261904763</v>
      </c>
      <c r="BF71" s="111">
        <f t="shared" si="61"/>
        <v>156330.28547619047</v>
      </c>
      <c r="BG71" s="111">
        <f t="shared" si="61"/>
        <v>156889.42833333334</v>
      </c>
      <c r="BH71" s="111">
        <f t="shared" si="61"/>
        <v>156889.42833333334</v>
      </c>
      <c r="BI71" s="111">
        <f t="shared" si="61"/>
        <v>156889.42833333334</v>
      </c>
      <c r="BJ71" s="111">
        <f t="shared" si="61"/>
        <v>156889.42833333334</v>
      </c>
      <c r="BK71" s="111">
        <f t="shared" si="61"/>
        <v>156889.42833333334</v>
      </c>
      <c r="BL71" s="111">
        <f t="shared" si="61"/>
        <v>156889.42833333334</v>
      </c>
      <c r="BM71" s="111">
        <f t="shared" si="61"/>
        <v>158140.6083261905</v>
      </c>
      <c r="BN71" s="111">
        <f t="shared" si="61"/>
        <v>158716.52546904766</v>
      </c>
      <c r="BO71" s="111">
        <f t="shared" si="61"/>
        <v>159292.44261190479</v>
      </c>
      <c r="BP71" s="111">
        <f t="shared" si="61"/>
        <v>159868.35975476194</v>
      </c>
      <c r="BQ71" s="111">
        <f t="shared" si="61"/>
        <v>160444.27689761907</v>
      </c>
      <c r="BR71" s="111">
        <f t="shared" si="61"/>
        <v>161020.1940404762</v>
      </c>
      <c r="BS71" s="111">
        <f t="shared" si="61"/>
        <v>161596.11118333336</v>
      </c>
      <c r="BT71" s="111">
        <f t="shared" si="61"/>
        <v>161596.11118333336</v>
      </c>
      <c r="BU71" s="111">
        <f t="shared" si="61"/>
        <v>161596.11118333336</v>
      </c>
    </row>
    <row r="73" spans="2:74">
      <c r="B73" s="88" t="s">
        <v>2</v>
      </c>
      <c r="E73" s="35" t="s">
        <v>43</v>
      </c>
      <c r="G73" s="35" t="s">
        <v>100</v>
      </c>
    </row>
    <row r="74" spans="2:74">
      <c r="B74" s="108" t="s">
        <v>98</v>
      </c>
      <c r="E74" s="100">
        <f>$D$6</f>
        <v>16</v>
      </c>
      <c r="G74" s="29">
        <v>0.03</v>
      </c>
      <c r="J74" s="28">
        <v>1.65</v>
      </c>
      <c r="K74" s="128">
        <f>J74*$K$8</f>
        <v>132000</v>
      </c>
      <c r="L74" s="129"/>
      <c r="M74" s="111">
        <f>(M$3&gt;=$E74)*($K74/12)*(1+$G74)^INT((M$3-$E74)/12)</f>
        <v>0</v>
      </c>
      <c r="N74" s="111">
        <f t="shared" ref="N74:BU77" si="62">(N$3&gt;=$E74)*($K74/12)*(1+$G74)^INT((N$3-$E74)/12)</f>
        <v>0</v>
      </c>
      <c r="O74" s="111">
        <f t="shared" si="62"/>
        <v>0</v>
      </c>
      <c r="P74" s="111">
        <f t="shared" si="62"/>
        <v>0</v>
      </c>
      <c r="Q74" s="111">
        <f t="shared" si="62"/>
        <v>0</v>
      </c>
      <c r="R74" s="111">
        <f t="shared" si="62"/>
        <v>0</v>
      </c>
      <c r="S74" s="111">
        <f t="shared" si="62"/>
        <v>0</v>
      </c>
      <c r="T74" s="111">
        <f t="shared" si="62"/>
        <v>0</v>
      </c>
      <c r="U74" s="111">
        <f t="shared" si="62"/>
        <v>0</v>
      </c>
      <c r="V74" s="111">
        <f t="shared" si="62"/>
        <v>0</v>
      </c>
      <c r="W74" s="111">
        <f t="shared" si="62"/>
        <v>0</v>
      </c>
      <c r="X74" s="111">
        <f t="shared" si="62"/>
        <v>0</v>
      </c>
      <c r="Y74" s="111">
        <f t="shared" si="62"/>
        <v>0</v>
      </c>
      <c r="Z74" s="111">
        <f t="shared" si="62"/>
        <v>0</v>
      </c>
      <c r="AA74" s="111">
        <f t="shared" si="62"/>
        <v>0</v>
      </c>
      <c r="AB74" s="111">
        <f t="shared" si="62"/>
        <v>0</v>
      </c>
      <c r="AC74" s="111">
        <f t="shared" si="62"/>
        <v>11000</v>
      </c>
      <c r="AD74" s="111">
        <f t="shared" si="62"/>
        <v>11000</v>
      </c>
      <c r="AE74" s="111">
        <f t="shared" si="62"/>
        <v>11000</v>
      </c>
      <c r="AF74" s="111">
        <f t="shared" si="62"/>
        <v>11000</v>
      </c>
      <c r="AG74" s="111">
        <f t="shared" si="62"/>
        <v>11000</v>
      </c>
      <c r="AH74" s="111">
        <f t="shared" si="62"/>
        <v>11000</v>
      </c>
      <c r="AI74" s="111">
        <f t="shared" si="62"/>
        <v>11000</v>
      </c>
      <c r="AJ74" s="111">
        <f t="shared" si="62"/>
        <v>11000</v>
      </c>
      <c r="AK74" s="111">
        <f t="shared" si="62"/>
        <v>11000</v>
      </c>
      <c r="AL74" s="111">
        <f t="shared" si="62"/>
        <v>11000</v>
      </c>
      <c r="AM74" s="111">
        <f t="shared" si="62"/>
        <v>11000</v>
      </c>
      <c r="AN74" s="111">
        <f t="shared" si="62"/>
        <v>11000</v>
      </c>
      <c r="AO74" s="111">
        <f t="shared" si="62"/>
        <v>11330</v>
      </c>
      <c r="AP74" s="111">
        <f t="shared" si="62"/>
        <v>11330</v>
      </c>
      <c r="AQ74" s="111">
        <f t="shared" si="62"/>
        <v>11330</v>
      </c>
      <c r="AR74" s="111">
        <f t="shared" si="62"/>
        <v>11330</v>
      </c>
      <c r="AS74" s="111">
        <f t="shared" si="62"/>
        <v>11330</v>
      </c>
      <c r="AT74" s="111">
        <f t="shared" si="62"/>
        <v>11330</v>
      </c>
      <c r="AU74" s="111">
        <f t="shared" si="62"/>
        <v>11330</v>
      </c>
      <c r="AV74" s="111">
        <f t="shared" si="62"/>
        <v>11330</v>
      </c>
      <c r="AW74" s="111">
        <f t="shared" si="62"/>
        <v>11330</v>
      </c>
      <c r="AX74" s="111">
        <f t="shared" si="62"/>
        <v>11330</v>
      </c>
      <c r="AY74" s="111">
        <f t="shared" si="62"/>
        <v>11330</v>
      </c>
      <c r="AZ74" s="111">
        <f t="shared" si="62"/>
        <v>11330</v>
      </c>
      <c r="BA74" s="111">
        <f t="shared" si="62"/>
        <v>11669.9</v>
      </c>
      <c r="BB74" s="111">
        <f t="shared" si="62"/>
        <v>11669.9</v>
      </c>
      <c r="BC74" s="111">
        <f t="shared" si="62"/>
        <v>11669.9</v>
      </c>
      <c r="BD74" s="111">
        <f t="shared" si="62"/>
        <v>11669.9</v>
      </c>
      <c r="BE74" s="111">
        <f t="shared" si="62"/>
        <v>11669.9</v>
      </c>
      <c r="BF74" s="111">
        <f t="shared" si="62"/>
        <v>11669.9</v>
      </c>
      <c r="BG74" s="111">
        <f t="shared" si="62"/>
        <v>11669.9</v>
      </c>
      <c r="BH74" s="111">
        <f t="shared" si="62"/>
        <v>11669.9</v>
      </c>
      <c r="BI74" s="111">
        <f t="shared" si="62"/>
        <v>11669.9</v>
      </c>
      <c r="BJ74" s="111">
        <f t="shared" si="62"/>
        <v>11669.9</v>
      </c>
      <c r="BK74" s="111">
        <f t="shared" si="62"/>
        <v>11669.9</v>
      </c>
      <c r="BL74" s="111">
        <f t="shared" si="62"/>
        <v>11669.9</v>
      </c>
      <c r="BM74" s="111">
        <f t="shared" si="62"/>
        <v>12019.996999999999</v>
      </c>
      <c r="BN74" s="111">
        <f t="shared" si="62"/>
        <v>12019.996999999999</v>
      </c>
      <c r="BO74" s="111">
        <f t="shared" si="62"/>
        <v>12019.996999999999</v>
      </c>
      <c r="BP74" s="111">
        <f t="shared" si="62"/>
        <v>12019.996999999999</v>
      </c>
      <c r="BQ74" s="111">
        <f t="shared" si="62"/>
        <v>12019.996999999999</v>
      </c>
      <c r="BR74" s="111">
        <f t="shared" si="62"/>
        <v>12019.996999999999</v>
      </c>
      <c r="BS74" s="111">
        <f t="shared" si="62"/>
        <v>12019.996999999999</v>
      </c>
      <c r="BT74" s="111">
        <f t="shared" si="62"/>
        <v>12019.996999999999</v>
      </c>
      <c r="BU74" s="111">
        <f t="shared" si="62"/>
        <v>12019.996999999999</v>
      </c>
      <c r="BV74" s="123"/>
    </row>
    <row r="75" spans="2:74">
      <c r="B75" s="108" t="s">
        <v>25</v>
      </c>
      <c r="E75" s="100">
        <f t="shared" ref="E75:E77" si="63">$D$6</f>
        <v>16</v>
      </c>
      <c r="G75" s="29">
        <v>0.03</v>
      </c>
      <c r="J75" s="28">
        <v>0.38</v>
      </c>
      <c r="K75" s="128">
        <f>J75*$K$8</f>
        <v>30400</v>
      </c>
      <c r="L75" s="129"/>
      <c r="M75" s="111">
        <f t="shared" ref="M75:AB77" si="64">(M$3&gt;=$E75)*($K75/12)*(1+$G75)^INT((M$3-$E75)/12)</f>
        <v>0</v>
      </c>
      <c r="N75" s="111">
        <f t="shared" si="64"/>
        <v>0</v>
      </c>
      <c r="O75" s="111">
        <f t="shared" si="64"/>
        <v>0</v>
      </c>
      <c r="P75" s="111">
        <f t="shared" si="64"/>
        <v>0</v>
      </c>
      <c r="Q75" s="111">
        <f t="shared" si="64"/>
        <v>0</v>
      </c>
      <c r="R75" s="111">
        <f t="shared" si="64"/>
        <v>0</v>
      </c>
      <c r="S75" s="111">
        <f t="shared" si="64"/>
        <v>0</v>
      </c>
      <c r="T75" s="111">
        <f t="shared" si="64"/>
        <v>0</v>
      </c>
      <c r="U75" s="111">
        <f t="shared" si="64"/>
        <v>0</v>
      </c>
      <c r="V75" s="111">
        <f t="shared" si="64"/>
        <v>0</v>
      </c>
      <c r="W75" s="111">
        <f t="shared" si="64"/>
        <v>0</v>
      </c>
      <c r="X75" s="111">
        <f t="shared" si="64"/>
        <v>0</v>
      </c>
      <c r="Y75" s="111">
        <f t="shared" si="64"/>
        <v>0</v>
      </c>
      <c r="Z75" s="111">
        <f t="shared" si="64"/>
        <v>0</v>
      </c>
      <c r="AA75" s="111">
        <f t="shared" si="64"/>
        <v>0</v>
      </c>
      <c r="AB75" s="111">
        <f t="shared" si="64"/>
        <v>0</v>
      </c>
      <c r="AC75" s="111">
        <f t="shared" si="62"/>
        <v>2533.3333333333335</v>
      </c>
      <c r="AD75" s="111">
        <f t="shared" si="62"/>
        <v>2533.3333333333335</v>
      </c>
      <c r="AE75" s="111">
        <f t="shared" si="62"/>
        <v>2533.3333333333335</v>
      </c>
      <c r="AF75" s="111">
        <f t="shared" si="62"/>
        <v>2533.3333333333335</v>
      </c>
      <c r="AG75" s="111">
        <f t="shared" si="62"/>
        <v>2533.3333333333335</v>
      </c>
      <c r="AH75" s="111">
        <f t="shared" si="62"/>
        <v>2533.3333333333335</v>
      </c>
      <c r="AI75" s="111">
        <f t="shared" si="62"/>
        <v>2533.3333333333335</v>
      </c>
      <c r="AJ75" s="111">
        <f t="shared" si="62"/>
        <v>2533.3333333333335</v>
      </c>
      <c r="AK75" s="111">
        <f t="shared" si="62"/>
        <v>2533.3333333333335</v>
      </c>
      <c r="AL75" s="111">
        <f t="shared" si="62"/>
        <v>2533.3333333333335</v>
      </c>
      <c r="AM75" s="111">
        <f t="shared" si="62"/>
        <v>2533.3333333333335</v>
      </c>
      <c r="AN75" s="111">
        <f t="shared" si="62"/>
        <v>2533.3333333333335</v>
      </c>
      <c r="AO75" s="111">
        <f t="shared" si="62"/>
        <v>2609.3333333333335</v>
      </c>
      <c r="AP75" s="111">
        <f t="shared" si="62"/>
        <v>2609.3333333333335</v>
      </c>
      <c r="AQ75" s="111">
        <f t="shared" si="62"/>
        <v>2609.3333333333335</v>
      </c>
      <c r="AR75" s="111">
        <f t="shared" si="62"/>
        <v>2609.3333333333335</v>
      </c>
      <c r="AS75" s="111">
        <f t="shared" si="62"/>
        <v>2609.3333333333335</v>
      </c>
      <c r="AT75" s="111">
        <f t="shared" si="62"/>
        <v>2609.3333333333335</v>
      </c>
      <c r="AU75" s="111">
        <f t="shared" si="62"/>
        <v>2609.3333333333335</v>
      </c>
      <c r="AV75" s="111">
        <f t="shared" si="62"/>
        <v>2609.3333333333335</v>
      </c>
      <c r="AW75" s="111">
        <f t="shared" si="62"/>
        <v>2609.3333333333335</v>
      </c>
      <c r="AX75" s="111">
        <f t="shared" si="62"/>
        <v>2609.3333333333335</v>
      </c>
      <c r="AY75" s="111">
        <f t="shared" si="62"/>
        <v>2609.3333333333335</v>
      </c>
      <c r="AZ75" s="111">
        <f t="shared" si="62"/>
        <v>2609.3333333333335</v>
      </c>
      <c r="BA75" s="111">
        <f t="shared" si="62"/>
        <v>2687.6133333333332</v>
      </c>
      <c r="BB75" s="111">
        <f t="shared" si="62"/>
        <v>2687.6133333333332</v>
      </c>
      <c r="BC75" s="111">
        <f t="shared" si="62"/>
        <v>2687.6133333333332</v>
      </c>
      <c r="BD75" s="111">
        <f t="shared" si="62"/>
        <v>2687.6133333333332</v>
      </c>
      <c r="BE75" s="111">
        <f t="shared" si="62"/>
        <v>2687.6133333333332</v>
      </c>
      <c r="BF75" s="111">
        <f t="shared" si="62"/>
        <v>2687.6133333333332</v>
      </c>
      <c r="BG75" s="111">
        <f t="shared" si="62"/>
        <v>2687.6133333333332</v>
      </c>
      <c r="BH75" s="111">
        <f t="shared" si="62"/>
        <v>2687.6133333333332</v>
      </c>
      <c r="BI75" s="111">
        <f t="shared" si="62"/>
        <v>2687.6133333333332</v>
      </c>
      <c r="BJ75" s="111">
        <f t="shared" si="62"/>
        <v>2687.6133333333332</v>
      </c>
      <c r="BK75" s="111">
        <f t="shared" si="62"/>
        <v>2687.6133333333332</v>
      </c>
      <c r="BL75" s="111">
        <f t="shared" si="62"/>
        <v>2687.6133333333332</v>
      </c>
      <c r="BM75" s="111">
        <f t="shared" si="62"/>
        <v>2768.2417333333333</v>
      </c>
      <c r="BN75" s="111">
        <f t="shared" si="62"/>
        <v>2768.2417333333333</v>
      </c>
      <c r="BO75" s="111">
        <f t="shared" si="62"/>
        <v>2768.2417333333333</v>
      </c>
      <c r="BP75" s="111">
        <f t="shared" si="62"/>
        <v>2768.2417333333333</v>
      </c>
      <c r="BQ75" s="111">
        <f t="shared" si="62"/>
        <v>2768.2417333333333</v>
      </c>
      <c r="BR75" s="111">
        <f t="shared" si="62"/>
        <v>2768.2417333333333</v>
      </c>
      <c r="BS75" s="111">
        <f t="shared" si="62"/>
        <v>2768.2417333333333</v>
      </c>
      <c r="BT75" s="111">
        <f t="shared" si="62"/>
        <v>2768.2417333333333</v>
      </c>
      <c r="BU75" s="111">
        <f t="shared" si="62"/>
        <v>2768.2417333333333</v>
      </c>
    </row>
    <row r="76" spans="2:74">
      <c r="B76" s="108" t="s">
        <v>339</v>
      </c>
      <c r="E76" s="100">
        <f t="shared" si="63"/>
        <v>16</v>
      </c>
      <c r="G76" s="29">
        <v>0.03</v>
      </c>
      <c r="J76" s="28">
        <v>1.32</v>
      </c>
      <c r="K76" s="128">
        <f>J76*$K$8</f>
        <v>105600</v>
      </c>
      <c r="L76" s="129"/>
      <c r="M76" s="111">
        <f t="shared" si="64"/>
        <v>0</v>
      </c>
      <c r="N76" s="111">
        <f t="shared" si="62"/>
        <v>0</v>
      </c>
      <c r="O76" s="111">
        <f t="shared" si="62"/>
        <v>0</v>
      </c>
      <c r="P76" s="111">
        <f t="shared" si="62"/>
        <v>0</v>
      </c>
      <c r="Q76" s="111">
        <f t="shared" si="62"/>
        <v>0</v>
      </c>
      <c r="R76" s="111">
        <f t="shared" si="62"/>
        <v>0</v>
      </c>
      <c r="S76" s="111">
        <f t="shared" si="62"/>
        <v>0</v>
      </c>
      <c r="T76" s="111">
        <f t="shared" si="62"/>
        <v>0</v>
      </c>
      <c r="U76" s="111">
        <f t="shared" si="62"/>
        <v>0</v>
      </c>
      <c r="V76" s="111">
        <f t="shared" si="62"/>
        <v>0</v>
      </c>
      <c r="W76" s="111">
        <f t="shared" si="62"/>
        <v>0</v>
      </c>
      <c r="X76" s="111">
        <f t="shared" si="62"/>
        <v>0</v>
      </c>
      <c r="Y76" s="111">
        <f t="shared" si="62"/>
        <v>0</v>
      </c>
      <c r="Z76" s="111">
        <f t="shared" si="62"/>
        <v>0</v>
      </c>
      <c r="AA76" s="111">
        <f t="shared" si="62"/>
        <v>0</v>
      </c>
      <c r="AB76" s="111">
        <f t="shared" si="62"/>
        <v>0</v>
      </c>
      <c r="AC76" s="111">
        <f t="shared" si="62"/>
        <v>8800</v>
      </c>
      <c r="AD76" s="111">
        <f t="shared" si="62"/>
        <v>8800</v>
      </c>
      <c r="AE76" s="111">
        <f t="shared" si="62"/>
        <v>8800</v>
      </c>
      <c r="AF76" s="111">
        <f t="shared" si="62"/>
        <v>8800</v>
      </c>
      <c r="AG76" s="111">
        <f t="shared" si="62"/>
        <v>8800</v>
      </c>
      <c r="AH76" s="111">
        <f t="shared" si="62"/>
        <v>8800</v>
      </c>
      <c r="AI76" s="111">
        <f t="shared" si="62"/>
        <v>8800</v>
      </c>
      <c r="AJ76" s="111">
        <f t="shared" si="62"/>
        <v>8800</v>
      </c>
      <c r="AK76" s="111">
        <f t="shared" si="62"/>
        <v>8800</v>
      </c>
      <c r="AL76" s="111">
        <f t="shared" si="62"/>
        <v>8800</v>
      </c>
      <c r="AM76" s="111">
        <f t="shared" si="62"/>
        <v>8800</v>
      </c>
      <c r="AN76" s="111">
        <f t="shared" si="62"/>
        <v>8800</v>
      </c>
      <c r="AO76" s="111">
        <f t="shared" si="62"/>
        <v>9064</v>
      </c>
      <c r="AP76" s="111">
        <f t="shared" si="62"/>
        <v>9064</v>
      </c>
      <c r="AQ76" s="111">
        <f t="shared" si="62"/>
        <v>9064</v>
      </c>
      <c r="AR76" s="111">
        <f t="shared" si="62"/>
        <v>9064</v>
      </c>
      <c r="AS76" s="111">
        <f t="shared" si="62"/>
        <v>9064</v>
      </c>
      <c r="AT76" s="111">
        <f t="shared" si="62"/>
        <v>9064</v>
      </c>
      <c r="AU76" s="111">
        <f t="shared" si="62"/>
        <v>9064</v>
      </c>
      <c r="AV76" s="111">
        <f t="shared" si="62"/>
        <v>9064</v>
      </c>
      <c r="AW76" s="111">
        <f t="shared" si="62"/>
        <v>9064</v>
      </c>
      <c r="AX76" s="111">
        <f t="shared" si="62"/>
        <v>9064</v>
      </c>
      <c r="AY76" s="111">
        <f t="shared" si="62"/>
        <v>9064</v>
      </c>
      <c r="AZ76" s="111">
        <f t="shared" si="62"/>
        <v>9064</v>
      </c>
      <c r="BA76" s="111">
        <f t="shared" si="62"/>
        <v>9335.92</v>
      </c>
      <c r="BB76" s="111">
        <f t="shared" si="62"/>
        <v>9335.92</v>
      </c>
      <c r="BC76" s="111">
        <f t="shared" si="62"/>
        <v>9335.92</v>
      </c>
      <c r="BD76" s="111">
        <f t="shared" si="62"/>
        <v>9335.92</v>
      </c>
      <c r="BE76" s="111">
        <f t="shared" si="62"/>
        <v>9335.92</v>
      </c>
      <c r="BF76" s="111">
        <f t="shared" si="62"/>
        <v>9335.92</v>
      </c>
      <c r="BG76" s="111">
        <f t="shared" si="62"/>
        <v>9335.92</v>
      </c>
      <c r="BH76" s="111">
        <f t="shared" si="62"/>
        <v>9335.92</v>
      </c>
      <c r="BI76" s="111">
        <f t="shared" si="62"/>
        <v>9335.92</v>
      </c>
      <c r="BJ76" s="111">
        <f t="shared" si="62"/>
        <v>9335.92</v>
      </c>
      <c r="BK76" s="111">
        <f t="shared" si="62"/>
        <v>9335.92</v>
      </c>
      <c r="BL76" s="111">
        <f t="shared" si="62"/>
        <v>9335.92</v>
      </c>
      <c r="BM76" s="111">
        <f t="shared" si="62"/>
        <v>9615.9976000000006</v>
      </c>
      <c r="BN76" s="111">
        <f t="shared" si="62"/>
        <v>9615.9976000000006</v>
      </c>
      <c r="BO76" s="111">
        <f t="shared" si="62"/>
        <v>9615.9976000000006</v>
      </c>
      <c r="BP76" s="111">
        <f t="shared" si="62"/>
        <v>9615.9976000000006</v>
      </c>
      <c r="BQ76" s="111">
        <f t="shared" si="62"/>
        <v>9615.9976000000006</v>
      </c>
      <c r="BR76" s="111">
        <f t="shared" si="62"/>
        <v>9615.9976000000006</v>
      </c>
      <c r="BS76" s="111">
        <f t="shared" si="62"/>
        <v>9615.9976000000006</v>
      </c>
      <c r="BT76" s="111">
        <f t="shared" si="62"/>
        <v>9615.9976000000006</v>
      </c>
      <c r="BU76" s="111">
        <f t="shared" si="62"/>
        <v>9615.9976000000006</v>
      </c>
    </row>
    <row r="77" spans="2:74" ht="17.25">
      <c r="B77" s="108" t="s">
        <v>99</v>
      </c>
      <c r="E77" s="100">
        <f t="shared" si="63"/>
        <v>16</v>
      </c>
      <c r="G77" s="29">
        <v>0.03</v>
      </c>
      <c r="J77" s="36">
        <v>0.25</v>
      </c>
      <c r="K77" s="20">
        <f>J77*$K$8</f>
        <v>20000</v>
      </c>
      <c r="L77" s="11"/>
      <c r="M77" s="14">
        <f t="shared" si="64"/>
        <v>0</v>
      </c>
      <c r="N77" s="14">
        <f t="shared" si="62"/>
        <v>0</v>
      </c>
      <c r="O77" s="14">
        <f t="shared" si="62"/>
        <v>0</v>
      </c>
      <c r="P77" s="14">
        <f t="shared" si="62"/>
        <v>0</v>
      </c>
      <c r="Q77" s="14">
        <f t="shared" si="62"/>
        <v>0</v>
      </c>
      <c r="R77" s="14">
        <f t="shared" si="62"/>
        <v>0</v>
      </c>
      <c r="S77" s="14">
        <f t="shared" si="62"/>
        <v>0</v>
      </c>
      <c r="T77" s="14">
        <f t="shared" si="62"/>
        <v>0</v>
      </c>
      <c r="U77" s="14">
        <f t="shared" si="62"/>
        <v>0</v>
      </c>
      <c r="V77" s="14">
        <f t="shared" si="62"/>
        <v>0</v>
      </c>
      <c r="W77" s="14">
        <f t="shared" si="62"/>
        <v>0</v>
      </c>
      <c r="X77" s="14">
        <f t="shared" si="62"/>
        <v>0</v>
      </c>
      <c r="Y77" s="14">
        <f t="shared" si="62"/>
        <v>0</v>
      </c>
      <c r="Z77" s="14">
        <f t="shared" si="62"/>
        <v>0</v>
      </c>
      <c r="AA77" s="14">
        <f t="shared" si="62"/>
        <v>0</v>
      </c>
      <c r="AB77" s="14">
        <f t="shared" si="62"/>
        <v>0</v>
      </c>
      <c r="AC77" s="14">
        <f t="shared" si="62"/>
        <v>1666.6666666666667</v>
      </c>
      <c r="AD77" s="14">
        <f t="shared" si="62"/>
        <v>1666.6666666666667</v>
      </c>
      <c r="AE77" s="14">
        <f t="shared" si="62"/>
        <v>1666.6666666666667</v>
      </c>
      <c r="AF77" s="14">
        <f t="shared" si="62"/>
        <v>1666.6666666666667</v>
      </c>
      <c r="AG77" s="14">
        <f t="shared" si="62"/>
        <v>1666.6666666666667</v>
      </c>
      <c r="AH77" s="14">
        <f t="shared" si="62"/>
        <v>1666.6666666666667</v>
      </c>
      <c r="AI77" s="14">
        <f t="shared" si="62"/>
        <v>1666.6666666666667</v>
      </c>
      <c r="AJ77" s="14">
        <f t="shared" si="62"/>
        <v>1666.6666666666667</v>
      </c>
      <c r="AK77" s="14">
        <f t="shared" si="62"/>
        <v>1666.6666666666667</v>
      </c>
      <c r="AL77" s="14">
        <f t="shared" si="62"/>
        <v>1666.6666666666667</v>
      </c>
      <c r="AM77" s="14">
        <f t="shared" si="62"/>
        <v>1666.6666666666667</v>
      </c>
      <c r="AN77" s="14">
        <f t="shared" si="62"/>
        <v>1666.6666666666667</v>
      </c>
      <c r="AO77" s="14">
        <f t="shared" si="62"/>
        <v>1716.6666666666667</v>
      </c>
      <c r="AP77" s="14">
        <f t="shared" si="62"/>
        <v>1716.6666666666667</v>
      </c>
      <c r="AQ77" s="14">
        <f t="shared" si="62"/>
        <v>1716.6666666666667</v>
      </c>
      <c r="AR77" s="14">
        <f t="shared" si="62"/>
        <v>1716.6666666666667</v>
      </c>
      <c r="AS77" s="14">
        <f t="shared" si="62"/>
        <v>1716.6666666666667</v>
      </c>
      <c r="AT77" s="14">
        <f t="shared" si="62"/>
        <v>1716.6666666666667</v>
      </c>
      <c r="AU77" s="14">
        <f t="shared" si="62"/>
        <v>1716.6666666666667</v>
      </c>
      <c r="AV77" s="14">
        <f t="shared" si="62"/>
        <v>1716.6666666666667</v>
      </c>
      <c r="AW77" s="14">
        <f t="shared" si="62"/>
        <v>1716.6666666666667</v>
      </c>
      <c r="AX77" s="14">
        <f t="shared" si="62"/>
        <v>1716.6666666666667</v>
      </c>
      <c r="AY77" s="14">
        <f t="shared" si="62"/>
        <v>1716.6666666666667</v>
      </c>
      <c r="AZ77" s="14">
        <f t="shared" si="62"/>
        <v>1716.6666666666667</v>
      </c>
      <c r="BA77" s="14">
        <f t="shared" si="62"/>
        <v>1768.1666666666667</v>
      </c>
      <c r="BB77" s="14">
        <f t="shared" si="62"/>
        <v>1768.1666666666667</v>
      </c>
      <c r="BC77" s="14">
        <f t="shared" si="62"/>
        <v>1768.1666666666667</v>
      </c>
      <c r="BD77" s="14">
        <f t="shared" si="62"/>
        <v>1768.1666666666667</v>
      </c>
      <c r="BE77" s="14">
        <f t="shared" si="62"/>
        <v>1768.1666666666667</v>
      </c>
      <c r="BF77" s="14">
        <f t="shared" si="62"/>
        <v>1768.1666666666667</v>
      </c>
      <c r="BG77" s="14">
        <f t="shared" si="62"/>
        <v>1768.1666666666667</v>
      </c>
      <c r="BH77" s="14">
        <f t="shared" si="62"/>
        <v>1768.1666666666667</v>
      </c>
      <c r="BI77" s="14">
        <f t="shared" si="62"/>
        <v>1768.1666666666667</v>
      </c>
      <c r="BJ77" s="14">
        <f t="shared" si="62"/>
        <v>1768.1666666666667</v>
      </c>
      <c r="BK77" s="14">
        <f t="shared" si="62"/>
        <v>1768.1666666666667</v>
      </c>
      <c r="BL77" s="14">
        <f t="shared" si="62"/>
        <v>1768.1666666666667</v>
      </c>
      <c r="BM77" s="14">
        <f t="shared" si="62"/>
        <v>1821.2116666666668</v>
      </c>
      <c r="BN77" s="14">
        <f t="shared" si="62"/>
        <v>1821.2116666666668</v>
      </c>
      <c r="BO77" s="14">
        <f t="shared" si="62"/>
        <v>1821.2116666666668</v>
      </c>
      <c r="BP77" s="14">
        <f t="shared" si="62"/>
        <v>1821.2116666666668</v>
      </c>
      <c r="BQ77" s="14">
        <f t="shared" si="62"/>
        <v>1821.2116666666668</v>
      </c>
      <c r="BR77" s="14">
        <f t="shared" si="62"/>
        <v>1821.2116666666668</v>
      </c>
      <c r="BS77" s="14">
        <f t="shared" si="62"/>
        <v>1821.2116666666668</v>
      </c>
      <c r="BT77" s="14">
        <f t="shared" si="62"/>
        <v>1821.2116666666668</v>
      </c>
      <c r="BU77" s="14">
        <f t="shared" si="62"/>
        <v>1821.2116666666668</v>
      </c>
    </row>
    <row r="78" spans="2:74">
      <c r="B78" s="121" t="s">
        <v>9</v>
      </c>
      <c r="J78" s="127">
        <f>SUM(J74:J77)</f>
        <v>3.5999999999999996</v>
      </c>
      <c r="K78" s="128">
        <f>SUM(K74:K77)</f>
        <v>288000</v>
      </c>
      <c r="L78" s="129"/>
      <c r="M78" s="111">
        <f>SUM(M74:M77)</f>
        <v>0</v>
      </c>
      <c r="N78" s="111">
        <f t="shared" ref="N78:BU78" si="65">SUM(N74:N77)</f>
        <v>0</v>
      </c>
      <c r="O78" s="111">
        <f t="shared" si="65"/>
        <v>0</v>
      </c>
      <c r="P78" s="111">
        <f t="shared" si="65"/>
        <v>0</v>
      </c>
      <c r="Q78" s="111">
        <f t="shared" si="65"/>
        <v>0</v>
      </c>
      <c r="R78" s="111">
        <f t="shared" si="65"/>
        <v>0</v>
      </c>
      <c r="S78" s="111">
        <f t="shared" si="65"/>
        <v>0</v>
      </c>
      <c r="T78" s="111">
        <f t="shared" si="65"/>
        <v>0</v>
      </c>
      <c r="U78" s="111">
        <f t="shared" si="65"/>
        <v>0</v>
      </c>
      <c r="V78" s="111">
        <f t="shared" si="65"/>
        <v>0</v>
      </c>
      <c r="W78" s="111">
        <f t="shared" si="65"/>
        <v>0</v>
      </c>
      <c r="X78" s="111">
        <f t="shared" si="65"/>
        <v>0</v>
      </c>
      <c r="Y78" s="111">
        <f t="shared" si="65"/>
        <v>0</v>
      </c>
      <c r="Z78" s="111">
        <f t="shared" si="65"/>
        <v>0</v>
      </c>
      <c r="AA78" s="111">
        <f t="shared" si="65"/>
        <v>0</v>
      </c>
      <c r="AB78" s="111">
        <f t="shared" si="65"/>
        <v>0</v>
      </c>
      <c r="AC78" s="111">
        <f t="shared" si="65"/>
        <v>24000.000000000004</v>
      </c>
      <c r="AD78" s="111">
        <f t="shared" si="65"/>
        <v>24000.000000000004</v>
      </c>
      <c r="AE78" s="111">
        <f t="shared" si="65"/>
        <v>24000.000000000004</v>
      </c>
      <c r="AF78" s="111">
        <f t="shared" si="65"/>
        <v>24000.000000000004</v>
      </c>
      <c r="AG78" s="111">
        <f t="shared" si="65"/>
        <v>24000.000000000004</v>
      </c>
      <c r="AH78" s="111">
        <f t="shared" si="65"/>
        <v>24000.000000000004</v>
      </c>
      <c r="AI78" s="111">
        <f t="shared" si="65"/>
        <v>24000.000000000004</v>
      </c>
      <c r="AJ78" s="111">
        <f t="shared" si="65"/>
        <v>24000.000000000004</v>
      </c>
      <c r="AK78" s="111">
        <f t="shared" si="65"/>
        <v>24000.000000000004</v>
      </c>
      <c r="AL78" s="111">
        <f t="shared" si="65"/>
        <v>24000.000000000004</v>
      </c>
      <c r="AM78" s="111">
        <f t="shared" si="65"/>
        <v>24000.000000000004</v>
      </c>
      <c r="AN78" s="111">
        <f t="shared" si="65"/>
        <v>24000.000000000004</v>
      </c>
      <c r="AO78" s="111">
        <f t="shared" si="65"/>
        <v>24720.000000000004</v>
      </c>
      <c r="AP78" s="111">
        <f t="shared" si="65"/>
        <v>24720.000000000004</v>
      </c>
      <c r="AQ78" s="111">
        <f t="shared" si="65"/>
        <v>24720.000000000004</v>
      </c>
      <c r="AR78" s="111">
        <f t="shared" si="65"/>
        <v>24720.000000000004</v>
      </c>
      <c r="AS78" s="111">
        <f t="shared" si="65"/>
        <v>24720.000000000004</v>
      </c>
      <c r="AT78" s="111">
        <f t="shared" si="65"/>
        <v>24720.000000000004</v>
      </c>
      <c r="AU78" s="111">
        <f t="shared" si="65"/>
        <v>24720.000000000004</v>
      </c>
      <c r="AV78" s="111">
        <f t="shared" si="65"/>
        <v>24720.000000000004</v>
      </c>
      <c r="AW78" s="111">
        <f t="shared" si="65"/>
        <v>24720.000000000004</v>
      </c>
      <c r="AX78" s="111">
        <f t="shared" si="65"/>
        <v>24720.000000000004</v>
      </c>
      <c r="AY78" s="111">
        <f t="shared" si="65"/>
        <v>24720.000000000004</v>
      </c>
      <c r="AZ78" s="111">
        <f t="shared" si="65"/>
        <v>24720.000000000004</v>
      </c>
      <c r="BA78" s="111">
        <f t="shared" si="65"/>
        <v>25461.600000000002</v>
      </c>
      <c r="BB78" s="111">
        <f t="shared" si="65"/>
        <v>25461.600000000002</v>
      </c>
      <c r="BC78" s="111">
        <f t="shared" si="65"/>
        <v>25461.600000000002</v>
      </c>
      <c r="BD78" s="111">
        <f t="shared" si="65"/>
        <v>25461.600000000002</v>
      </c>
      <c r="BE78" s="111">
        <f t="shared" si="65"/>
        <v>25461.600000000002</v>
      </c>
      <c r="BF78" s="111">
        <f t="shared" si="65"/>
        <v>25461.600000000002</v>
      </c>
      <c r="BG78" s="111">
        <f t="shared" si="65"/>
        <v>25461.600000000002</v>
      </c>
      <c r="BH78" s="111">
        <f t="shared" si="65"/>
        <v>25461.600000000002</v>
      </c>
      <c r="BI78" s="111">
        <f t="shared" si="65"/>
        <v>25461.600000000002</v>
      </c>
      <c r="BJ78" s="111">
        <f t="shared" si="65"/>
        <v>25461.600000000002</v>
      </c>
      <c r="BK78" s="111">
        <f t="shared" si="65"/>
        <v>25461.600000000002</v>
      </c>
      <c r="BL78" s="111">
        <f t="shared" si="65"/>
        <v>25461.600000000002</v>
      </c>
      <c r="BM78" s="111">
        <f t="shared" si="65"/>
        <v>26225.448</v>
      </c>
      <c r="BN78" s="111">
        <f t="shared" si="65"/>
        <v>26225.448</v>
      </c>
      <c r="BO78" s="111">
        <f t="shared" si="65"/>
        <v>26225.448</v>
      </c>
      <c r="BP78" s="111">
        <f t="shared" si="65"/>
        <v>26225.448</v>
      </c>
      <c r="BQ78" s="111">
        <f t="shared" si="65"/>
        <v>26225.448</v>
      </c>
      <c r="BR78" s="111">
        <f t="shared" si="65"/>
        <v>26225.448</v>
      </c>
      <c r="BS78" s="111">
        <f t="shared" si="65"/>
        <v>26225.448</v>
      </c>
      <c r="BT78" s="111">
        <f t="shared" si="65"/>
        <v>26225.448</v>
      </c>
      <c r="BU78" s="111">
        <f t="shared" si="65"/>
        <v>26225.448</v>
      </c>
    </row>
    <row r="79" spans="2:74">
      <c r="AC79" s="111"/>
    </row>
    <row r="80" spans="2:74">
      <c r="B80" s="37" t="s">
        <v>8</v>
      </c>
      <c r="J80" s="38">
        <f>K80/$K$8</f>
        <v>18.582500000000003</v>
      </c>
      <c r="K80" s="21">
        <f>K71-K78</f>
        <v>1486600.0000000002</v>
      </c>
      <c r="L80" s="4"/>
      <c r="M80" s="111">
        <f>M71-M78</f>
        <v>0</v>
      </c>
      <c r="N80" s="111">
        <f t="shared" ref="N80:BU80" si="66">N71-N78</f>
        <v>0</v>
      </c>
      <c r="O80" s="111">
        <f t="shared" si="66"/>
        <v>0</v>
      </c>
      <c r="P80" s="111">
        <f t="shared" si="66"/>
        <v>0</v>
      </c>
      <c r="Q80" s="111">
        <f t="shared" si="66"/>
        <v>0</v>
      </c>
      <c r="R80" s="111">
        <f t="shared" si="66"/>
        <v>0</v>
      </c>
      <c r="S80" s="111">
        <f t="shared" si="66"/>
        <v>0</v>
      </c>
      <c r="T80" s="111">
        <f t="shared" si="66"/>
        <v>0</v>
      </c>
      <c r="U80" s="111">
        <f t="shared" si="66"/>
        <v>0</v>
      </c>
      <c r="V80" s="111">
        <f t="shared" si="66"/>
        <v>0</v>
      </c>
      <c r="W80" s="111">
        <f t="shared" si="66"/>
        <v>0</v>
      </c>
      <c r="X80" s="111">
        <f t="shared" si="66"/>
        <v>0</v>
      </c>
      <c r="Y80" s="111">
        <f t="shared" si="66"/>
        <v>0</v>
      </c>
      <c r="Z80" s="111">
        <f t="shared" si="66"/>
        <v>0</v>
      </c>
      <c r="AA80" s="111">
        <f t="shared" si="66"/>
        <v>0</v>
      </c>
      <c r="AB80" s="111">
        <f t="shared" si="66"/>
        <v>0</v>
      </c>
      <c r="AC80" s="111">
        <f t="shared" si="66"/>
        <v>-20809.523809523813</v>
      </c>
      <c r="AD80" s="111">
        <f t="shared" si="66"/>
        <v>-17619.047619047622</v>
      </c>
      <c r="AE80" s="111">
        <f t="shared" si="66"/>
        <v>-14428.571428571431</v>
      </c>
      <c r="AF80" s="111">
        <f>AF71-AF78</f>
        <v>7809.5238095238092</v>
      </c>
      <c r="AG80" s="111">
        <f t="shared" si="66"/>
        <v>30047.61904761905</v>
      </c>
      <c r="AH80" s="111">
        <f t="shared" si="66"/>
        <v>52285.71428571429</v>
      </c>
      <c r="AI80" s="111">
        <f t="shared" si="66"/>
        <v>74523.809523809527</v>
      </c>
      <c r="AJ80" s="111">
        <f t="shared" si="66"/>
        <v>93571.42857142858</v>
      </c>
      <c r="AK80" s="111">
        <f t="shared" si="66"/>
        <v>112619.04761904763</v>
      </c>
      <c r="AL80" s="111">
        <f t="shared" si="66"/>
        <v>123883.33333333334</v>
      </c>
      <c r="AM80" s="111">
        <f t="shared" si="66"/>
        <v>123883.33333333334</v>
      </c>
      <c r="AN80" s="111">
        <f t="shared" si="66"/>
        <v>123883.33333333334</v>
      </c>
      <c r="AO80" s="111">
        <f t="shared" si="66"/>
        <v>124342.6904761905</v>
      </c>
      <c r="AP80" s="111">
        <f t="shared" si="66"/>
        <v>124885.54761904766</v>
      </c>
      <c r="AQ80" s="111">
        <f t="shared" si="66"/>
        <v>125428.40476190479</v>
      </c>
      <c r="AR80" s="111">
        <f t="shared" si="66"/>
        <v>125971.26190476192</v>
      </c>
      <c r="AS80" s="111">
        <f t="shared" si="66"/>
        <v>126514.11904761908</v>
      </c>
      <c r="AT80" s="111">
        <f t="shared" si="66"/>
        <v>127056.97619047621</v>
      </c>
      <c r="AU80" s="111">
        <f t="shared" si="66"/>
        <v>127599.83333333334</v>
      </c>
      <c r="AV80" s="111">
        <f t="shared" si="66"/>
        <v>127599.83333333334</v>
      </c>
      <c r="AW80" s="111">
        <f t="shared" si="66"/>
        <v>127599.83333333334</v>
      </c>
      <c r="AX80" s="111">
        <f t="shared" si="66"/>
        <v>127599.83333333334</v>
      </c>
      <c r="AY80" s="111">
        <f t="shared" si="66"/>
        <v>127599.83333333334</v>
      </c>
      <c r="AZ80" s="111">
        <f t="shared" si="66"/>
        <v>127599.83333333334</v>
      </c>
      <c r="BA80" s="111">
        <f t="shared" si="66"/>
        <v>128072.97119047618</v>
      </c>
      <c r="BB80" s="111">
        <f t="shared" si="66"/>
        <v>128632.11404761908</v>
      </c>
      <c r="BC80" s="111">
        <f t="shared" si="66"/>
        <v>129191.25690476192</v>
      </c>
      <c r="BD80" s="111">
        <f t="shared" si="66"/>
        <v>129750.39976190479</v>
      </c>
      <c r="BE80" s="111">
        <f t="shared" si="66"/>
        <v>130309.54261904763</v>
      </c>
      <c r="BF80" s="111">
        <f t="shared" si="66"/>
        <v>130868.68547619047</v>
      </c>
      <c r="BG80" s="111">
        <f t="shared" si="66"/>
        <v>131427.82833333334</v>
      </c>
      <c r="BH80" s="111">
        <f t="shared" si="66"/>
        <v>131427.82833333334</v>
      </c>
      <c r="BI80" s="111">
        <f t="shared" si="66"/>
        <v>131427.82833333334</v>
      </c>
      <c r="BJ80" s="111">
        <f t="shared" si="66"/>
        <v>131427.82833333334</v>
      </c>
      <c r="BK80" s="111">
        <f t="shared" si="66"/>
        <v>131427.82833333334</v>
      </c>
      <c r="BL80" s="111">
        <f t="shared" si="66"/>
        <v>131427.82833333334</v>
      </c>
      <c r="BM80" s="111">
        <f t="shared" si="66"/>
        <v>131915.1603261905</v>
      </c>
      <c r="BN80" s="111">
        <f t="shared" si="66"/>
        <v>132491.07746904765</v>
      </c>
      <c r="BO80" s="111">
        <f t="shared" si="66"/>
        <v>133066.99461190478</v>
      </c>
      <c r="BP80" s="111">
        <f t="shared" si="66"/>
        <v>133642.91175476194</v>
      </c>
      <c r="BQ80" s="111">
        <f t="shared" si="66"/>
        <v>134218.82889761907</v>
      </c>
      <c r="BR80" s="111">
        <f t="shared" si="66"/>
        <v>134794.7460404762</v>
      </c>
      <c r="BS80" s="111">
        <f t="shared" si="66"/>
        <v>135370.66318333335</v>
      </c>
      <c r="BT80" s="111">
        <f t="shared" si="66"/>
        <v>135370.66318333335</v>
      </c>
      <c r="BU80" s="111">
        <f t="shared" si="66"/>
        <v>135370.66318333335</v>
      </c>
      <c r="BV80" s="123"/>
    </row>
    <row r="81" spans="2:74" ht="17.25">
      <c r="B81" s="108" t="s">
        <v>101</v>
      </c>
      <c r="E81" s="100">
        <f t="shared" ref="E81" si="67">$D$6</f>
        <v>16</v>
      </c>
      <c r="G81" s="29">
        <v>0.03</v>
      </c>
      <c r="J81" s="36">
        <v>0.15</v>
      </c>
      <c r="K81" s="20">
        <f>J81*$K$8</f>
        <v>12000</v>
      </c>
      <c r="L81" s="11"/>
      <c r="M81" s="14">
        <f t="shared" ref="M81:BU81" si="68">(M$3&gt;=$E81)*($K81/12)*(1+$G81)^INT((M$3-$E81)/12)</f>
        <v>0</v>
      </c>
      <c r="N81" s="14">
        <f t="shared" si="68"/>
        <v>0</v>
      </c>
      <c r="O81" s="14">
        <f t="shared" si="68"/>
        <v>0</v>
      </c>
      <c r="P81" s="14">
        <f t="shared" si="68"/>
        <v>0</v>
      </c>
      <c r="Q81" s="14">
        <f t="shared" si="68"/>
        <v>0</v>
      </c>
      <c r="R81" s="14">
        <f t="shared" si="68"/>
        <v>0</v>
      </c>
      <c r="S81" s="14">
        <f t="shared" si="68"/>
        <v>0</v>
      </c>
      <c r="T81" s="14">
        <f t="shared" si="68"/>
        <v>0</v>
      </c>
      <c r="U81" s="14">
        <f t="shared" si="68"/>
        <v>0</v>
      </c>
      <c r="V81" s="14">
        <f t="shared" si="68"/>
        <v>0</v>
      </c>
      <c r="W81" s="14">
        <f t="shared" si="68"/>
        <v>0</v>
      </c>
      <c r="X81" s="14">
        <f t="shared" si="68"/>
        <v>0</v>
      </c>
      <c r="Y81" s="14">
        <f t="shared" si="68"/>
        <v>0</v>
      </c>
      <c r="Z81" s="14">
        <f t="shared" si="68"/>
        <v>0</v>
      </c>
      <c r="AA81" s="14">
        <f t="shared" si="68"/>
        <v>0</v>
      </c>
      <c r="AB81" s="14">
        <f t="shared" si="68"/>
        <v>0</v>
      </c>
      <c r="AC81" s="14">
        <f t="shared" si="68"/>
        <v>1000</v>
      </c>
      <c r="AD81" s="14">
        <f t="shared" si="68"/>
        <v>1000</v>
      </c>
      <c r="AE81" s="14">
        <f t="shared" si="68"/>
        <v>1000</v>
      </c>
      <c r="AF81" s="14">
        <f t="shared" si="68"/>
        <v>1000</v>
      </c>
      <c r="AG81" s="14">
        <f t="shared" si="68"/>
        <v>1000</v>
      </c>
      <c r="AH81" s="14">
        <f t="shared" si="68"/>
        <v>1000</v>
      </c>
      <c r="AI81" s="14">
        <f t="shared" si="68"/>
        <v>1000</v>
      </c>
      <c r="AJ81" s="14">
        <f t="shared" si="68"/>
        <v>1000</v>
      </c>
      <c r="AK81" s="14">
        <f t="shared" si="68"/>
        <v>1000</v>
      </c>
      <c r="AL81" s="14">
        <f t="shared" si="68"/>
        <v>1000</v>
      </c>
      <c r="AM81" s="14">
        <f t="shared" si="68"/>
        <v>1000</v>
      </c>
      <c r="AN81" s="14">
        <f t="shared" si="68"/>
        <v>1000</v>
      </c>
      <c r="AO81" s="14">
        <f t="shared" si="68"/>
        <v>1030</v>
      </c>
      <c r="AP81" s="14">
        <f t="shared" si="68"/>
        <v>1030</v>
      </c>
      <c r="AQ81" s="14">
        <f t="shared" si="68"/>
        <v>1030</v>
      </c>
      <c r="AR81" s="14">
        <f t="shared" si="68"/>
        <v>1030</v>
      </c>
      <c r="AS81" s="14">
        <f t="shared" si="68"/>
        <v>1030</v>
      </c>
      <c r="AT81" s="14">
        <f t="shared" si="68"/>
        <v>1030</v>
      </c>
      <c r="AU81" s="14">
        <f t="shared" si="68"/>
        <v>1030</v>
      </c>
      <c r="AV81" s="14">
        <f t="shared" si="68"/>
        <v>1030</v>
      </c>
      <c r="AW81" s="14">
        <f t="shared" si="68"/>
        <v>1030</v>
      </c>
      <c r="AX81" s="14">
        <f t="shared" si="68"/>
        <v>1030</v>
      </c>
      <c r="AY81" s="14">
        <f t="shared" si="68"/>
        <v>1030</v>
      </c>
      <c r="AZ81" s="14">
        <f t="shared" si="68"/>
        <v>1030</v>
      </c>
      <c r="BA81" s="14">
        <f t="shared" si="68"/>
        <v>1060.8999999999999</v>
      </c>
      <c r="BB81" s="14">
        <f t="shared" si="68"/>
        <v>1060.8999999999999</v>
      </c>
      <c r="BC81" s="14">
        <f t="shared" si="68"/>
        <v>1060.8999999999999</v>
      </c>
      <c r="BD81" s="14">
        <f t="shared" si="68"/>
        <v>1060.8999999999999</v>
      </c>
      <c r="BE81" s="14">
        <f t="shared" si="68"/>
        <v>1060.8999999999999</v>
      </c>
      <c r="BF81" s="14">
        <f t="shared" si="68"/>
        <v>1060.8999999999999</v>
      </c>
      <c r="BG81" s="14">
        <f t="shared" si="68"/>
        <v>1060.8999999999999</v>
      </c>
      <c r="BH81" s="14">
        <f t="shared" si="68"/>
        <v>1060.8999999999999</v>
      </c>
      <c r="BI81" s="14">
        <f t="shared" si="68"/>
        <v>1060.8999999999999</v>
      </c>
      <c r="BJ81" s="14">
        <f t="shared" si="68"/>
        <v>1060.8999999999999</v>
      </c>
      <c r="BK81" s="14">
        <f t="shared" si="68"/>
        <v>1060.8999999999999</v>
      </c>
      <c r="BL81" s="14">
        <f t="shared" si="68"/>
        <v>1060.8999999999999</v>
      </c>
      <c r="BM81" s="14">
        <f t="shared" si="68"/>
        <v>1092.7270000000001</v>
      </c>
      <c r="BN81" s="14">
        <f t="shared" si="68"/>
        <v>1092.7270000000001</v>
      </c>
      <c r="BO81" s="14">
        <f t="shared" si="68"/>
        <v>1092.7270000000001</v>
      </c>
      <c r="BP81" s="14">
        <f t="shared" si="68"/>
        <v>1092.7270000000001</v>
      </c>
      <c r="BQ81" s="14">
        <f t="shared" si="68"/>
        <v>1092.7270000000001</v>
      </c>
      <c r="BR81" s="14">
        <f t="shared" si="68"/>
        <v>1092.7270000000001</v>
      </c>
      <c r="BS81" s="14">
        <f t="shared" si="68"/>
        <v>1092.7270000000001</v>
      </c>
      <c r="BT81" s="14">
        <f t="shared" si="68"/>
        <v>1092.7270000000001</v>
      </c>
      <c r="BU81" s="14">
        <f t="shared" si="68"/>
        <v>1092.7270000000001</v>
      </c>
      <c r="BV81" s="123"/>
    </row>
    <row r="82" spans="2:74">
      <c r="B82" s="88" t="s">
        <v>102</v>
      </c>
      <c r="J82" s="39">
        <f>K82/$K$8</f>
        <v>18.432500000000005</v>
      </c>
      <c r="K82" s="128">
        <f>K80-K81</f>
        <v>1474600.0000000002</v>
      </c>
      <c r="L82" s="129"/>
      <c r="M82" s="111">
        <f>(M80-M81)</f>
        <v>0</v>
      </c>
      <c r="N82" s="111">
        <f t="shared" ref="N82:BU82" si="69">(N80-N81)</f>
        <v>0</v>
      </c>
      <c r="O82" s="111">
        <f t="shared" si="69"/>
        <v>0</v>
      </c>
      <c r="P82" s="111">
        <f t="shared" si="69"/>
        <v>0</v>
      </c>
      <c r="Q82" s="111">
        <f t="shared" si="69"/>
        <v>0</v>
      </c>
      <c r="R82" s="111">
        <f t="shared" si="69"/>
        <v>0</v>
      </c>
      <c r="S82" s="111">
        <f t="shared" si="69"/>
        <v>0</v>
      </c>
      <c r="T82" s="111">
        <f t="shared" si="69"/>
        <v>0</v>
      </c>
      <c r="U82" s="111">
        <f t="shared" si="69"/>
        <v>0</v>
      </c>
      <c r="V82" s="111">
        <f t="shared" si="69"/>
        <v>0</v>
      </c>
      <c r="W82" s="111">
        <f t="shared" si="69"/>
        <v>0</v>
      </c>
      <c r="X82" s="111">
        <f t="shared" si="69"/>
        <v>0</v>
      </c>
      <c r="Y82" s="111">
        <f t="shared" si="69"/>
        <v>0</v>
      </c>
      <c r="Z82" s="111">
        <f t="shared" si="69"/>
        <v>0</v>
      </c>
      <c r="AA82" s="111">
        <f t="shared" si="69"/>
        <v>0</v>
      </c>
      <c r="AB82" s="111">
        <f t="shared" si="69"/>
        <v>0</v>
      </c>
      <c r="AC82" s="111">
        <f t="shared" si="69"/>
        <v>-21809.523809523813</v>
      </c>
      <c r="AD82" s="111">
        <f t="shared" si="69"/>
        <v>-18619.047619047622</v>
      </c>
      <c r="AE82" s="111">
        <f t="shared" si="69"/>
        <v>-15428.571428571431</v>
      </c>
      <c r="AF82" s="111">
        <f t="shared" si="69"/>
        <v>6809.5238095238092</v>
      </c>
      <c r="AG82" s="111">
        <f t="shared" si="69"/>
        <v>29047.61904761905</v>
      </c>
      <c r="AH82" s="111">
        <f t="shared" si="69"/>
        <v>51285.71428571429</v>
      </c>
      <c r="AI82" s="111">
        <f t="shared" si="69"/>
        <v>73523.809523809527</v>
      </c>
      <c r="AJ82" s="111">
        <f t="shared" si="69"/>
        <v>92571.42857142858</v>
      </c>
      <c r="AK82" s="111">
        <f t="shared" si="69"/>
        <v>111619.04761904763</v>
      </c>
      <c r="AL82" s="111">
        <f t="shared" si="69"/>
        <v>122883.33333333334</v>
      </c>
      <c r="AM82" s="111">
        <f t="shared" si="69"/>
        <v>122883.33333333334</v>
      </c>
      <c r="AN82" s="111">
        <f t="shared" si="69"/>
        <v>122883.33333333334</v>
      </c>
      <c r="AO82" s="111">
        <f t="shared" si="69"/>
        <v>123312.6904761905</v>
      </c>
      <c r="AP82" s="111">
        <f t="shared" si="69"/>
        <v>123855.54761904766</v>
      </c>
      <c r="AQ82" s="111">
        <f t="shared" si="69"/>
        <v>124398.40476190479</v>
      </c>
      <c r="AR82" s="111">
        <f t="shared" si="69"/>
        <v>124941.26190476192</v>
      </c>
      <c r="AS82" s="111">
        <f t="shared" si="69"/>
        <v>125484.11904761908</v>
      </c>
      <c r="AT82" s="111">
        <f t="shared" si="69"/>
        <v>126026.97619047621</v>
      </c>
      <c r="AU82" s="111">
        <f t="shared" si="69"/>
        <v>126569.83333333334</v>
      </c>
      <c r="AV82" s="111">
        <f t="shared" si="69"/>
        <v>126569.83333333334</v>
      </c>
      <c r="AW82" s="111">
        <f t="shared" si="69"/>
        <v>126569.83333333334</v>
      </c>
      <c r="AX82" s="111">
        <f t="shared" si="69"/>
        <v>126569.83333333334</v>
      </c>
      <c r="AY82" s="111">
        <f t="shared" si="69"/>
        <v>126569.83333333334</v>
      </c>
      <c r="AZ82" s="111">
        <f t="shared" si="69"/>
        <v>126569.83333333334</v>
      </c>
      <c r="BA82" s="111">
        <f t="shared" si="69"/>
        <v>127012.07119047618</v>
      </c>
      <c r="BB82" s="111">
        <f t="shared" si="69"/>
        <v>127571.21404761908</v>
      </c>
      <c r="BC82" s="111">
        <f t="shared" si="69"/>
        <v>128130.35690476192</v>
      </c>
      <c r="BD82" s="111">
        <f t="shared" si="69"/>
        <v>128689.49976190479</v>
      </c>
      <c r="BE82" s="111">
        <f t="shared" si="69"/>
        <v>129248.64261904763</v>
      </c>
      <c r="BF82" s="111">
        <f t="shared" si="69"/>
        <v>129807.78547619047</v>
      </c>
      <c r="BG82" s="111">
        <f t="shared" si="69"/>
        <v>130366.92833333334</v>
      </c>
      <c r="BH82" s="111">
        <f t="shared" si="69"/>
        <v>130366.92833333334</v>
      </c>
      <c r="BI82" s="111">
        <f t="shared" si="69"/>
        <v>130366.92833333334</v>
      </c>
      <c r="BJ82" s="111">
        <f t="shared" si="69"/>
        <v>130366.92833333334</v>
      </c>
      <c r="BK82" s="111">
        <f t="shared" si="69"/>
        <v>130366.92833333334</v>
      </c>
      <c r="BL82" s="111">
        <f t="shared" si="69"/>
        <v>130366.92833333334</v>
      </c>
      <c r="BM82" s="111">
        <f t="shared" si="69"/>
        <v>130822.4333261905</v>
      </c>
      <c r="BN82" s="111">
        <f t="shared" si="69"/>
        <v>131398.35046904764</v>
      </c>
      <c r="BO82" s="111">
        <f t="shared" si="69"/>
        <v>131974.26761190477</v>
      </c>
      <c r="BP82" s="111">
        <f t="shared" si="69"/>
        <v>132550.18475476193</v>
      </c>
      <c r="BQ82" s="111">
        <f t="shared" si="69"/>
        <v>133126.10189761905</v>
      </c>
      <c r="BR82" s="111">
        <f t="shared" si="69"/>
        <v>133702.01904047618</v>
      </c>
      <c r="BS82" s="111">
        <f t="shared" si="69"/>
        <v>134277.93618333334</v>
      </c>
      <c r="BT82" s="111">
        <f t="shared" si="69"/>
        <v>134277.93618333334</v>
      </c>
      <c r="BU82" s="111">
        <f t="shared" si="69"/>
        <v>134277.93618333334</v>
      </c>
    </row>
    <row r="85" spans="2:74">
      <c r="B85" s="88" t="s">
        <v>236</v>
      </c>
      <c r="E85" s="35" t="s">
        <v>237</v>
      </c>
      <c r="F85" s="35" t="s">
        <v>338</v>
      </c>
      <c r="G85" s="35" t="s">
        <v>5</v>
      </c>
    </row>
    <row r="86" spans="2:74">
      <c r="E86" s="41">
        <f>D7+12-1</f>
        <v>36</v>
      </c>
      <c r="F86" s="132">
        <f>SUMIFS(M80:BU80,M3:BU3,"&gt;"&amp;E86,M3:BU3,"&lt;="&amp;E86+12)</f>
        <v>1553907.9550000001</v>
      </c>
      <c r="G86" s="42">
        <v>5.7500000000000002E-2</v>
      </c>
      <c r="J86" s="103" t="s">
        <v>45</v>
      </c>
      <c r="K86" s="104" t="s">
        <v>3</v>
      </c>
    </row>
    <row r="87" spans="2:74">
      <c r="B87" s="108" t="s">
        <v>238</v>
      </c>
      <c r="J87" s="123">
        <f>K87/$K$8</f>
        <v>337.80607717391302</v>
      </c>
      <c r="K87" s="124">
        <f>F86/G86</f>
        <v>27024486.173913043</v>
      </c>
      <c r="M87" s="89">
        <f t="shared" ref="M87:AR87" si="70">(M3=$E$86)*$K$87</f>
        <v>0</v>
      </c>
      <c r="N87" s="89">
        <f t="shared" si="70"/>
        <v>0</v>
      </c>
      <c r="O87" s="89">
        <f t="shared" si="70"/>
        <v>0</v>
      </c>
      <c r="P87" s="89">
        <f t="shared" si="70"/>
        <v>0</v>
      </c>
      <c r="Q87" s="89">
        <f t="shared" si="70"/>
        <v>0</v>
      </c>
      <c r="R87" s="89">
        <f t="shared" si="70"/>
        <v>0</v>
      </c>
      <c r="S87" s="89">
        <f t="shared" si="70"/>
        <v>0</v>
      </c>
      <c r="T87" s="89">
        <f t="shared" si="70"/>
        <v>0</v>
      </c>
      <c r="U87" s="89">
        <f t="shared" si="70"/>
        <v>0</v>
      </c>
      <c r="V87" s="89">
        <f t="shared" si="70"/>
        <v>0</v>
      </c>
      <c r="W87" s="89">
        <f t="shared" si="70"/>
        <v>0</v>
      </c>
      <c r="X87" s="89">
        <f t="shared" si="70"/>
        <v>0</v>
      </c>
      <c r="Y87" s="89">
        <f t="shared" si="70"/>
        <v>0</v>
      </c>
      <c r="Z87" s="89">
        <f t="shared" si="70"/>
        <v>0</v>
      </c>
      <c r="AA87" s="89">
        <f t="shared" si="70"/>
        <v>0</v>
      </c>
      <c r="AB87" s="89">
        <f t="shared" si="70"/>
        <v>0</v>
      </c>
      <c r="AC87" s="89">
        <f t="shared" si="70"/>
        <v>0</v>
      </c>
      <c r="AD87" s="89">
        <f t="shared" si="70"/>
        <v>0</v>
      </c>
      <c r="AE87" s="89">
        <f t="shared" si="70"/>
        <v>0</v>
      </c>
      <c r="AF87" s="89">
        <f t="shared" si="70"/>
        <v>0</v>
      </c>
      <c r="AG87" s="89">
        <f t="shared" si="70"/>
        <v>0</v>
      </c>
      <c r="AH87" s="89">
        <f t="shared" si="70"/>
        <v>0</v>
      </c>
      <c r="AI87" s="89">
        <f t="shared" si="70"/>
        <v>0</v>
      </c>
      <c r="AJ87" s="89">
        <f t="shared" si="70"/>
        <v>0</v>
      </c>
      <c r="AK87" s="89">
        <f t="shared" si="70"/>
        <v>0</v>
      </c>
      <c r="AL87" s="89">
        <f t="shared" si="70"/>
        <v>0</v>
      </c>
      <c r="AM87" s="89">
        <f t="shared" si="70"/>
        <v>0</v>
      </c>
      <c r="AN87" s="89">
        <f t="shared" si="70"/>
        <v>0</v>
      </c>
      <c r="AO87" s="89">
        <f t="shared" si="70"/>
        <v>0</v>
      </c>
      <c r="AP87" s="89">
        <f t="shared" si="70"/>
        <v>0</v>
      </c>
      <c r="AQ87" s="89">
        <f t="shared" si="70"/>
        <v>0</v>
      </c>
      <c r="AR87" s="89">
        <f t="shared" si="70"/>
        <v>0</v>
      </c>
      <c r="AS87" s="89">
        <f t="shared" ref="AS87:BU87" si="71">(AS3=$E$86)*$K$87</f>
        <v>0</v>
      </c>
      <c r="AT87" s="89">
        <f t="shared" si="71"/>
        <v>0</v>
      </c>
      <c r="AU87" s="89">
        <f t="shared" si="71"/>
        <v>0</v>
      </c>
      <c r="AV87" s="89">
        <f t="shared" si="71"/>
        <v>0</v>
      </c>
      <c r="AW87" s="89">
        <f t="shared" si="71"/>
        <v>27024486.173913043</v>
      </c>
      <c r="AX87" s="89">
        <f t="shared" si="71"/>
        <v>0</v>
      </c>
      <c r="AY87" s="89">
        <f t="shared" si="71"/>
        <v>0</v>
      </c>
      <c r="AZ87" s="89">
        <f t="shared" si="71"/>
        <v>0</v>
      </c>
      <c r="BA87" s="89">
        <f t="shared" si="71"/>
        <v>0</v>
      </c>
      <c r="BB87" s="89">
        <f t="shared" si="71"/>
        <v>0</v>
      </c>
      <c r="BC87" s="89">
        <f t="shared" si="71"/>
        <v>0</v>
      </c>
      <c r="BD87" s="89">
        <f t="shared" si="71"/>
        <v>0</v>
      </c>
      <c r="BE87" s="89">
        <f t="shared" si="71"/>
        <v>0</v>
      </c>
      <c r="BF87" s="89">
        <f t="shared" si="71"/>
        <v>0</v>
      </c>
      <c r="BG87" s="89">
        <f t="shared" si="71"/>
        <v>0</v>
      </c>
      <c r="BH87" s="89">
        <f t="shared" si="71"/>
        <v>0</v>
      </c>
      <c r="BI87" s="89">
        <f t="shared" si="71"/>
        <v>0</v>
      </c>
      <c r="BJ87" s="89">
        <f t="shared" si="71"/>
        <v>0</v>
      </c>
      <c r="BK87" s="89">
        <f t="shared" si="71"/>
        <v>0</v>
      </c>
      <c r="BL87" s="89">
        <f t="shared" si="71"/>
        <v>0</v>
      </c>
      <c r="BM87" s="89">
        <f t="shared" si="71"/>
        <v>0</v>
      </c>
      <c r="BN87" s="89">
        <f t="shared" si="71"/>
        <v>0</v>
      </c>
      <c r="BO87" s="89">
        <f t="shared" si="71"/>
        <v>0</v>
      </c>
      <c r="BP87" s="89">
        <f t="shared" si="71"/>
        <v>0</v>
      </c>
      <c r="BQ87" s="89">
        <f t="shared" si="71"/>
        <v>0</v>
      </c>
      <c r="BR87" s="89">
        <f t="shared" si="71"/>
        <v>0</v>
      </c>
      <c r="BS87" s="89">
        <f t="shared" si="71"/>
        <v>0</v>
      </c>
      <c r="BT87" s="89">
        <f t="shared" si="71"/>
        <v>0</v>
      </c>
      <c r="BU87" s="89">
        <f t="shared" si="71"/>
        <v>0</v>
      </c>
    </row>
    <row r="88" spans="2:74" ht="17.25">
      <c r="B88" s="108" t="s">
        <v>239</v>
      </c>
      <c r="G88" s="29"/>
      <c r="I88" s="29">
        <v>1.4999999999999999E-2</v>
      </c>
      <c r="J88" s="40">
        <f>K88/$K$8</f>
        <v>-5.0670911576086954</v>
      </c>
      <c r="K88" s="15">
        <f>K87*-I88</f>
        <v>-405367.29260869563</v>
      </c>
      <c r="M88" s="13">
        <f t="shared" ref="M88:AR88" si="72">(M3=$E$86)*M87*-$I$88</f>
        <v>0</v>
      </c>
      <c r="N88" s="13">
        <f t="shared" si="72"/>
        <v>0</v>
      </c>
      <c r="O88" s="13">
        <f t="shared" si="72"/>
        <v>0</v>
      </c>
      <c r="P88" s="13">
        <f t="shared" si="72"/>
        <v>0</v>
      </c>
      <c r="Q88" s="13">
        <f t="shared" si="72"/>
        <v>0</v>
      </c>
      <c r="R88" s="13">
        <f t="shared" si="72"/>
        <v>0</v>
      </c>
      <c r="S88" s="13">
        <f t="shared" si="72"/>
        <v>0</v>
      </c>
      <c r="T88" s="13">
        <f t="shared" si="72"/>
        <v>0</v>
      </c>
      <c r="U88" s="13">
        <f t="shared" si="72"/>
        <v>0</v>
      </c>
      <c r="V88" s="13">
        <f t="shared" si="72"/>
        <v>0</v>
      </c>
      <c r="W88" s="13">
        <f t="shared" si="72"/>
        <v>0</v>
      </c>
      <c r="X88" s="13">
        <f t="shared" si="72"/>
        <v>0</v>
      </c>
      <c r="Y88" s="13">
        <f t="shared" si="72"/>
        <v>0</v>
      </c>
      <c r="Z88" s="13">
        <f t="shared" si="72"/>
        <v>0</v>
      </c>
      <c r="AA88" s="13">
        <f t="shared" si="72"/>
        <v>0</v>
      </c>
      <c r="AB88" s="13">
        <f t="shared" si="72"/>
        <v>0</v>
      </c>
      <c r="AC88" s="13">
        <f t="shared" si="72"/>
        <v>0</v>
      </c>
      <c r="AD88" s="13">
        <f t="shared" si="72"/>
        <v>0</v>
      </c>
      <c r="AE88" s="13">
        <f t="shared" si="72"/>
        <v>0</v>
      </c>
      <c r="AF88" s="13">
        <f t="shared" si="72"/>
        <v>0</v>
      </c>
      <c r="AG88" s="13">
        <f t="shared" si="72"/>
        <v>0</v>
      </c>
      <c r="AH88" s="13">
        <f t="shared" si="72"/>
        <v>0</v>
      </c>
      <c r="AI88" s="13">
        <f t="shared" si="72"/>
        <v>0</v>
      </c>
      <c r="AJ88" s="13">
        <f t="shared" si="72"/>
        <v>0</v>
      </c>
      <c r="AK88" s="13">
        <f t="shared" si="72"/>
        <v>0</v>
      </c>
      <c r="AL88" s="13">
        <f t="shared" si="72"/>
        <v>0</v>
      </c>
      <c r="AM88" s="13">
        <f t="shared" si="72"/>
        <v>0</v>
      </c>
      <c r="AN88" s="13">
        <f t="shared" si="72"/>
        <v>0</v>
      </c>
      <c r="AO88" s="13">
        <f t="shared" si="72"/>
        <v>0</v>
      </c>
      <c r="AP88" s="13">
        <f t="shared" si="72"/>
        <v>0</v>
      </c>
      <c r="AQ88" s="13">
        <f t="shared" si="72"/>
        <v>0</v>
      </c>
      <c r="AR88" s="13">
        <f t="shared" si="72"/>
        <v>0</v>
      </c>
      <c r="AS88" s="13">
        <f t="shared" ref="AS88:BU88" si="73">(AS3=$E$86)*AS87*-$I$88</f>
        <v>0</v>
      </c>
      <c r="AT88" s="13">
        <f t="shared" si="73"/>
        <v>0</v>
      </c>
      <c r="AU88" s="13">
        <f t="shared" si="73"/>
        <v>0</v>
      </c>
      <c r="AV88" s="13">
        <f t="shared" si="73"/>
        <v>0</v>
      </c>
      <c r="AW88" s="13">
        <f t="shared" si="73"/>
        <v>-405367.29260869563</v>
      </c>
      <c r="AX88" s="13">
        <f t="shared" si="73"/>
        <v>0</v>
      </c>
      <c r="AY88" s="13">
        <f t="shared" si="73"/>
        <v>0</v>
      </c>
      <c r="AZ88" s="13">
        <f t="shared" si="73"/>
        <v>0</v>
      </c>
      <c r="BA88" s="13">
        <f t="shared" si="73"/>
        <v>0</v>
      </c>
      <c r="BB88" s="13">
        <f t="shared" si="73"/>
        <v>0</v>
      </c>
      <c r="BC88" s="13">
        <f t="shared" si="73"/>
        <v>0</v>
      </c>
      <c r="BD88" s="13">
        <f t="shared" si="73"/>
        <v>0</v>
      </c>
      <c r="BE88" s="13">
        <f t="shared" si="73"/>
        <v>0</v>
      </c>
      <c r="BF88" s="13">
        <f t="shared" si="73"/>
        <v>0</v>
      </c>
      <c r="BG88" s="13">
        <f t="shared" si="73"/>
        <v>0</v>
      </c>
      <c r="BH88" s="13">
        <f t="shared" si="73"/>
        <v>0</v>
      </c>
      <c r="BI88" s="13">
        <f t="shared" si="73"/>
        <v>0</v>
      </c>
      <c r="BJ88" s="13">
        <f t="shared" si="73"/>
        <v>0</v>
      </c>
      <c r="BK88" s="13">
        <f t="shared" si="73"/>
        <v>0</v>
      </c>
      <c r="BL88" s="13">
        <f t="shared" si="73"/>
        <v>0</v>
      </c>
      <c r="BM88" s="13">
        <f t="shared" si="73"/>
        <v>0</v>
      </c>
      <c r="BN88" s="13">
        <f t="shared" si="73"/>
        <v>0</v>
      </c>
      <c r="BO88" s="13">
        <f t="shared" si="73"/>
        <v>0</v>
      </c>
      <c r="BP88" s="13">
        <f t="shared" si="73"/>
        <v>0</v>
      </c>
      <c r="BQ88" s="13">
        <f t="shared" si="73"/>
        <v>0</v>
      </c>
      <c r="BR88" s="13">
        <f t="shared" si="73"/>
        <v>0</v>
      </c>
      <c r="BS88" s="13">
        <f t="shared" si="73"/>
        <v>0</v>
      </c>
      <c r="BT88" s="13">
        <f t="shared" si="73"/>
        <v>0</v>
      </c>
      <c r="BU88" s="13">
        <f t="shared" si="73"/>
        <v>0</v>
      </c>
    </row>
    <row r="89" spans="2:74">
      <c r="B89" s="88" t="s">
        <v>240</v>
      </c>
      <c r="J89" s="123">
        <f>K89/$K$8</f>
        <v>332.73898601630435</v>
      </c>
      <c r="K89" s="124">
        <f>K87+K88</f>
        <v>26619118.881304346</v>
      </c>
      <c r="M89" s="89">
        <f>SUM(M87:M88)</f>
        <v>0</v>
      </c>
      <c r="N89" s="89">
        <f t="shared" ref="N89:BU89" si="74">SUM(N87:N88)</f>
        <v>0</v>
      </c>
      <c r="O89" s="89">
        <f t="shared" si="74"/>
        <v>0</v>
      </c>
      <c r="P89" s="89">
        <f t="shared" si="74"/>
        <v>0</v>
      </c>
      <c r="Q89" s="89">
        <f t="shared" si="74"/>
        <v>0</v>
      </c>
      <c r="R89" s="89">
        <f t="shared" si="74"/>
        <v>0</v>
      </c>
      <c r="S89" s="89">
        <f t="shared" si="74"/>
        <v>0</v>
      </c>
      <c r="T89" s="89">
        <f t="shared" si="74"/>
        <v>0</v>
      </c>
      <c r="U89" s="89">
        <f t="shared" si="74"/>
        <v>0</v>
      </c>
      <c r="V89" s="89">
        <f t="shared" si="74"/>
        <v>0</v>
      </c>
      <c r="W89" s="89">
        <f t="shared" si="74"/>
        <v>0</v>
      </c>
      <c r="X89" s="89">
        <f t="shared" si="74"/>
        <v>0</v>
      </c>
      <c r="Y89" s="89">
        <f t="shared" si="74"/>
        <v>0</v>
      </c>
      <c r="Z89" s="89">
        <f t="shared" si="74"/>
        <v>0</v>
      </c>
      <c r="AA89" s="89">
        <f t="shared" si="74"/>
        <v>0</v>
      </c>
      <c r="AB89" s="89">
        <f t="shared" si="74"/>
        <v>0</v>
      </c>
      <c r="AC89" s="89">
        <f t="shared" si="74"/>
        <v>0</v>
      </c>
      <c r="AD89" s="89">
        <f t="shared" si="74"/>
        <v>0</v>
      </c>
      <c r="AE89" s="89">
        <f t="shared" si="74"/>
        <v>0</v>
      </c>
      <c r="AF89" s="89">
        <f t="shared" si="74"/>
        <v>0</v>
      </c>
      <c r="AG89" s="89">
        <f t="shared" si="74"/>
        <v>0</v>
      </c>
      <c r="AH89" s="89">
        <f t="shared" si="74"/>
        <v>0</v>
      </c>
      <c r="AI89" s="89">
        <f t="shared" si="74"/>
        <v>0</v>
      </c>
      <c r="AJ89" s="89">
        <f t="shared" si="74"/>
        <v>0</v>
      </c>
      <c r="AK89" s="89">
        <f t="shared" si="74"/>
        <v>0</v>
      </c>
      <c r="AL89" s="89">
        <f t="shared" si="74"/>
        <v>0</v>
      </c>
      <c r="AM89" s="89">
        <f t="shared" si="74"/>
        <v>0</v>
      </c>
      <c r="AN89" s="89">
        <f t="shared" si="74"/>
        <v>0</v>
      </c>
      <c r="AO89" s="89">
        <f t="shared" si="74"/>
        <v>0</v>
      </c>
      <c r="AP89" s="89">
        <f t="shared" si="74"/>
        <v>0</v>
      </c>
      <c r="AQ89" s="89">
        <f t="shared" si="74"/>
        <v>0</v>
      </c>
      <c r="AR89" s="89">
        <f t="shared" si="74"/>
        <v>0</v>
      </c>
      <c r="AS89" s="89">
        <f t="shared" si="74"/>
        <v>0</v>
      </c>
      <c r="AT89" s="89">
        <f t="shared" si="74"/>
        <v>0</v>
      </c>
      <c r="AU89" s="89">
        <f t="shared" si="74"/>
        <v>0</v>
      </c>
      <c r="AV89" s="89">
        <f t="shared" si="74"/>
        <v>0</v>
      </c>
      <c r="AW89" s="89">
        <f t="shared" si="74"/>
        <v>26619118.881304346</v>
      </c>
      <c r="AX89" s="89">
        <f t="shared" si="74"/>
        <v>0</v>
      </c>
      <c r="AY89" s="89">
        <f t="shared" si="74"/>
        <v>0</v>
      </c>
      <c r="AZ89" s="89">
        <f t="shared" si="74"/>
        <v>0</v>
      </c>
      <c r="BA89" s="89">
        <f t="shared" si="74"/>
        <v>0</v>
      </c>
      <c r="BB89" s="89">
        <f t="shared" si="74"/>
        <v>0</v>
      </c>
      <c r="BC89" s="89">
        <f t="shared" si="74"/>
        <v>0</v>
      </c>
      <c r="BD89" s="89">
        <f t="shared" si="74"/>
        <v>0</v>
      </c>
      <c r="BE89" s="89">
        <f t="shared" si="74"/>
        <v>0</v>
      </c>
      <c r="BF89" s="89">
        <f t="shared" si="74"/>
        <v>0</v>
      </c>
      <c r="BG89" s="89">
        <f t="shared" si="74"/>
        <v>0</v>
      </c>
      <c r="BH89" s="89">
        <f t="shared" si="74"/>
        <v>0</v>
      </c>
      <c r="BI89" s="89">
        <f t="shared" si="74"/>
        <v>0</v>
      </c>
      <c r="BJ89" s="89">
        <f t="shared" si="74"/>
        <v>0</v>
      </c>
      <c r="BK89" s="89">
        <f t="shared" si="74"/>
        <v>0</v>
      </c>
      <c r="BL89" s="89">
        <f t="shared" si="74"/>
        <v>0</v>
      </c>
      <c r="BM89" s="89">
        <f t="shared" si="74"/>
        <v>0</v>
      </c>
      <c r="BN89" s="89">
        <f t="shared" si="74"/>
        <v>0</v>
      </c>
      <c r="BO89" s="89">
        <f t="shared" si="74"/>
        <v>0</v>
      </c>
      <c r="BP89" s="89">
        <f t="shared" si="74"/>
        <v>0</v>
      </c>
      <c r="BQ89" s="89">
        <f t="shared" si="74"/>
        <v>0</v>
      </c>
      <c r="BR89" s="89">
        <f t="shared" si="74"/>
        <v>0</v>
      </c>
      <c r="BS89" s="89">
        <f t="shared" si="74"/>
        <v>0</v>
      </c>
      <c r="BT89" s="89">
        <f t="shared" si="74"/>
        <v>0</v>
      </c>
      <c r="BU89" s="89">
        <f t="shared" si="74"/>
        <v>0</v>
      </c>
    </row>
    <row r="90" spans="2:74" ht="17.25">
      <c r="B90" s="108" t="s">
        <v>241</v>
      </c>
      <c r="J90" s="40">
        <f ca="1">K90/$K$8</f>
        <v>-161.50151113382333</v>
      </c>
      <c r="K90" s="15">
        <f ca="1">-K39</f>
        <v>-12920120.890717128</v>
      </c>
      <c r="M90" s="13">
        <f t="shared" ref="M90:AR90" ca="1" si="75">(M3=$E$86)*$K$90</f>
        <v>0</v>
      </c>
      <c r="N90" s="13">
        <f t="shared" ca="1" si="75"/>
        <v>0</v>
      </c>
      <c r="O90" s="13">
        <f t="shared" ca="1" si="75"/>
        <v>0</v>
      </c>
      <c r="P90" s="13">
        <f t="shared" ca="1" si="75"/>
        <v>0</v>
      </c>
      <c r="Q90" s="13">
        <f t="shared" ca="1" si="75"/>
        <v>0</v>
      </c>
      <c r="R90" s="13">
        <f t="shared" ca="1" si="75"/>
        <v>0</v>
      </c>
      <c r="S90" s="13">
        <f t="shared" ca="1" si="75"/>
        <v>0</v>
      </c>
      <c r="T90" s="13">
        <f t="shared" ca="1" si="75"/>
        <v>0</v>
      </c>
      <c r="U90" s="13">
        <f t="shared" ca="1" si="75"/>
        <v>0</v>
      </c>
      <c r="V90" s="13">
        <f t="shared" ca="1" si="75"/>
        <v>0</v>
      </c>
      <c r="W90" s="13">
        <f t="shared" ca="1" si="75"/>
        <v>0</v>
      </c>
      <c r="X90" s="13">
        <f t="shared" ca="1" si="75"/>
        <v>0</v>
      </c>
      <c r="Y90" s="13">
        <f t="shared" ca="1" si="75"/>
        <v>0</v>
      </c>
      <c r="Z90" s="13">
        <f t="shared" ca="1" si="75"/>
        <v>0</v>
      </c>
      <c r="AA90" s="13">
        <f t="shared" ca="1" si="75"/>
        <v>0</v>
      </c>
      <c r="AB90" s="13">
        <f t="shared" ca="1" si="75"/>
        <v>0</v>
      </c>
      <c r="AC90" s="13">
        <f t="shared" ca="1" si="75"/>
        <v>0</v>
      </c>
      <c r="AD90" s="13">
        <f t="shared" ca="1" si="75"/>
        <v>0</v>
      </c>
      <c r="AE90" s="13">
        <f t="shared" ca="1" si="75"/>
        <v>0</v>
      </c>
      <c r="AF90" s="13">
        <f t="shared" ca="1" si="75"/>
        <v>0</v>
      </c>
      <c r="AG90" s="13">
        <f t="shared" ca="1" si="75"/>
        <v>0</v>
      </c>
      <c r="AH90" s="13">
        <f t="shared" ca="1" si="75"/>
        <v>0</v>
      </c>
      <c r="AI90" s="13">
        <f t="shared" ca="1" si="75"/>
        <v>0</v>
      </c>
      <c r="AJ90" s="13">
        <f t="shared" ca="1" si="75"/>
        <v>0</v>
      </c>
      <c r="AK90" s="13">
        <f t="shared" ca="1" si="75"/>
        <v>0</v>
      </c>
      <c r="AL90" s="13">
        <f t="shared" ca="1" si="75"/>
        <v>0</v>
      </c>
      <c r="AM90" s="13">
        <f t="shared" ca="1" si="75"/>
        <v>0</v>
      </c>
      <c r="AN90" s="13">
        <f t="shared" ca="1" si="75"/>
        <v>0</v>
      </c>
      <c r="AO90" s="13">
        <f t="shared" ca="1" si="75"/>
        <v>0</v>
      </c>
      <c r="AP90" s="13">
        <f t="shared" ca="1" si="75"/>
        <v>0</v>
      </c>
      <c r="AQ90" s="13">
        <f t="shared" ca="1" si="75"/>
        <v>0</v>
      </c>
      <c r="AR90" s="13">
        <f t="shared" ca="1" si="75"/>
        <v>0</v>
      </c>
      <c r="AS90" s="13">
        <f t="shared" ref="AS90:BU90" ca="1" si="76">(AS3=$E$86)*$K$90</f>
        <v>0</v>
      </c>
      <c r="AT90" s="13">
        <f t="shared" ca="1" si="76"/>
        <v>0</v>
      </c>
      <c r="AU90" s="13">
        <f t="shared" ca="1" si="76"/>
        <v>0</v>
      </c>
      <c r="AV90" s="13">
        <f t="shared" ca="1" si="76"/>
        <v>0</v>
      </c>
      <c r="AW90" s="13">
        <f t="shared" ca="1" si="76"/>
        <v>-12920120.890717128</v>
      </c>
      <c r="AX90" s="13">
        <f t="shared" ca="1" si="76"/>
        <v>0</v>
      </c>
      <c r="AY90" s="13">
        <f t="shared" ca="1" si="76"/>
        <v>0</v>
      </c>
      <c r="AZ90" s="13">
        <f t="shared" ca="1" si="76"/>
        <v>0</v>
      </c>
      <c r="BA90" s="13">
        <f t="shared" ca="1" si="76"/>
        <v>0</v>
      </c>
      <c r="BB90" s="13">
        <f t="shared" ca="1" si="76"/>
        <v>0</v>
      </c>
      <c r="BC90" s="13">
        <f t="shared" ca="1" si="76"/>
        <v>0</v>
      </c>
      <c r="BD90" s="13">
        <f t="shared" ca="1" si="76"/>
        <v>0</v>
      </c>
      <c r="BE90" s="13">
        <f t="shared" ca="1" si="76"/>
        <v>0</v>
      </c>
      <c r="BF90" s="13">
        <f t="shared" ca="1" si="76"/>
        <v>0</v>
      </c>
      <c r="BG90" s="13">
        <f t="shared" ca="1" si="76"/>
        <v>0</v>
      </c>
      <c r="BH90" s="13">
        <f t="shared" ca="1" si="76"/>
        <v>0</v>
      </c>
      <c r="BI90" s="13">
        <f t="shared" ca="1" si="76"/>
        <v>0</v>
      </c>
      <c r="BJ90" s="13">
        <f t="shared" ca="1" si="76"/>
        <v>0</v>
      </c>
      <c r="BK90" s="13">
        <f t="shared" ca="1" si="76"/>
        <v>0</v>
      </c>
      <c r="BL90" s="13">
        <f t="shared" ca="1" si="76"/>
        <v>0</v>
      </c>
      <c r="BM90" s="13">
        <f t="shared" ca="1" si="76"/>
        <v>0</v>
      </c>
      <c r="BN90" s="13">
        <f t="shared" ca="1" si="76"/>
        <v>0</v>
      </c>
      <c r="BO90" s="13">
        <f t="shared" ca="1" si="76"/>
        <v>0</v>
      </c>
      <c r="BP90" s="13">
        <f t="shared" ca="1" si="76"/>
        <v>0</v>
      </c>
      <c r="BQ90" s="13">
        <f t="shared" ca="1" si="76"/>
        <v>0</v>
      </c>
      <c r="BR90" s="13">
        <f t="shared" ca="1" si="76"/>
        <v>0</v>
      </c>
      <c r="BS90" s="13">
        <f t="shared" ca="1" si="76"/>
        <v>0</v>
      </c>
      <c r="BT90" s="13">
        <f t="shared" ca="1" si="76"/>
        <v>0</v>
      </c>
      <c r="BU90" s="13">
        <f t="shared" ca="1" si="76"/>
        <v>0</v>
      </c>
    </row>
    <row r="91" spans="2:74">
      <c r="B91" s="88" t="s">
        <v>242</v>
      </c>
      <c r="J91" s="123">
        <f ca="1">K91/$K$8</f>
        <v>171.237474882481</v>
      </c>
      <c r="K91" s="124">
        <f ca="1">SUM(K89:K90)</f>
        <v>13698997.990587218</v>
      </c>
      <c r="M91" s="89">
        <f ca="1">SUM(M89:M90)</f>
        <v>0</v>
      </c>
      <c r="N91" s="89">
        <f t="shared" ref="N91:BU91" ca="1" si="77">SUM(N89:N90)</f>
        <v>0</v>
      </c>
      <c r="O91" s="89">
        <f t="shared" ca="1" si="77"/>
        <v>0</v>
      </c>
      <c r="P91" s="89">
        <f t="shared" ca="1" si="77"/>
        <v>0</v>
      </c>
      <c r="Q91" s="89">
        <f t="shared" ca="1" si="77"/>
        <v>0</v>
      </c>
      <c r="R91" s="89">
        <f t="shared" ca="1" si="77"/>
        <v>0</v>
      </c>
      <c r="S91" s="89">
        <f t="shared" ca="1" si="77"/>
        <v>0</v>
      </c>
      <c r="T91" s="89">
        <f t="shared" ca="1" si="77"/>
        <v>0</v>
      </c>
      <c r="U91" s="89">
        <f t="shared" ca="1" si="77"/>
        <v>0</v>
      </c>
      <c r="V91" s="89">
        <f t="shared" ca="1" si="77"/>
        <v>0</v>
      </c>
      <c r="W91" s="89">
        <f t="shared" ca="1" si="77"/>
        <v>0</v>
      </c>
      <c r="X91" s="89">
        <f t="shared" ca="1" si="77"/>
        <v>0</v>
      </c>
      <c r="Y91" s="89">
        <f t="shared" ca="1" si="77"/>
        <v>0</v>
      </c>
      <c r="Z91" s="89">
        <f t="shared" ca="1" si="77"/>
        <v>0</v>
      </c>
      <c r="AA91" s="89">
        <f t="shared" ca="1" si="77"/>
        <v>0</v>
      </c>
      <c r="AB91" s="89">
        <f t="shared" ca="1" si="77"/>
        <v>0</v>
      </c>
      <c r="AC91" s="89">
        <f t="shared" ca="1" si="77"/>
        <v>0</v>
      </c>
      <c r="AD91" s="89">
        <f t="shared" ca="1" si="77"/>
        <v>0</v>
      </c>
      <c r="AE91" s="89">
        <f t="shared" ca="1" si="77"/>
        <v>0</v>
      </c>
      <c r="AF91" s="89">
        <f t="shared" ca="1" si="77"/>
        <v>0</v>
      </c>
      <c r="AG91" s="89">
        <f t="shared" ca="1" si="77"/>
        <v>0</v>
      </c>
      <c r="AH91" s="89">
        <f t="shared" ca="1" si="77"/>
        <v>0</v>
      </c>
      <c r="AI91" s="89">
        <f t="shared" ca="1" si="77"/>
        <v>0</v>
      </c>
      <c r="AJ91" s="89">
        <f t="shared" ca="1" si="77"/>
        <v>0</v>
      </c>
      <c r="AK91" s="89">
        <f t="shared" ca="1" si="77"/>
        <v>0</v>
      </c>
      <c r="AL91" s="89">
        <f t="shared" ca="1" si="77"/>
        <v>0</v>
      </c>
      <c r="AM91" s="89">
        <f t="shared" ca="1" si="77"/>
        <v>0</v>
      </c>
      <c r="AN91" s="89">
        <f t="shared" ca="1" si="77"/>
        <v>0</v>
      </c>
      <c r="AO91" s="89">
        <f t="shared" ca="1" si="77"/>
        <v>0</v>
      </c>
      <c r="AP91" s="89">
        <f t="shared" ca="1" si="77"/>
        <v>0</v>
      </c>
      <c r="AQ91" s="89">
        <f t="shared" ca="1" si="77"/>
        <v>0</v>
      </c>
      <c r="AR91" s="89">
        <f t="shared" ca="1" si="77"/>
        <v>0</v>
      </c>
      <c r="AS91" s="89">
        <f t="shared" ca="1" si="77"/>
        <v>0</v>
      </c>
      <c r="AT91" s="89">
        <f t="shared" ca="1" si="77"/>
        <v>0</v>
      </c>
      <c r="AU91" s="89">
        <f t="shared" ca="1" si="77"/>
        <v>0</v>
      </c>
      <c r="AV91" s="89">
        <f t="shared" ca="1" si="77"/>
        <v>0</v>
      </c>
      <c r="AW91" s="89">
        <f t="shared" ca="1" si="77"/>
        <v>13698997.990587218</v>
      </c>
      <c r="AX91" s="89">
        <f t="shared" ca="1" si="77"/>
        <v>0</v>
      </c>
      <c r="AY91" s="89">
        <f t="shared" ca="1" si="77"/>
        <v>0</v>
      </c>
      <c r="AZ91" s="89">
        <f t="shared" ca="1" si="77"/>
        <v>0</v>
      </c>
      <c r="BA91" s="89">
        <f t="shared" ca="1" si="77"/>
        <v>0</v>
      </c>
      <c r="BB91" s="89">
        <f t="shared" ca="1" si="77"/>
        <v>0</v>
      </c>
      <c r="BC91" s="89">
        <f t="shared" ca="1" si="77"/>
        <v>0</v>
      </c>
      <c r="BD91" s="89">
        <f t="shared" ca="1" si="77"/>
        <v>0</v>
      </c>
      <c r="BE91" s="89">
        <f t="shared" ca="1" si="77"/>
        <v>0</v>
      </c>
      <c r="BF91" s="89">
        <f t="shared" ca="1" si="77"/>
        <v>0</v>
      </c>
      <c r="BG91" s="89">
        <f t="shared" ca="1" si="77"/>
        <v>0</v>
      </c>
      <c r="BH91" s="89">
        <f t="shared" ca="1" si="77"/>
        <v>0</v>
      </c>
      <c r="BI91" s="89">
        <f t="shared" ca="1" si="77"/>
        <v>0</v>
      </c>
      <c r="BJ91" s="89">
        <f t="shared" ca="1" si="77"/>
        <v>0</v>
      </c>
      <c r="BK91" s="89">
        <f t="shared" ca="1" si="77"/>
        <v>0</v>
      </c>
      <c r="BL91" s="89">
        <f t="shared" ca="1" si="77"/>
        <v>0</v>
      </c>
      <c r="BM91" s="89">
        <f t="shared" ca="1" si="77"/>
        <v>0</v>
      </c>
      <c r="BN91" s="89">
        <f t="shared" ca="1" si="77"/>
        <v>0</v>
      </c>
      <c r="BO91" s="89">
        <f t="shared" ca="1" si="77"/>
        <v>0</v>
      </c>
      <c r="BP91" s="89">
        <f t="shared" ca="1" si="77"/>
        <v>0</v>
      </c>
      <c r="BQ91" s="89">
        <f t="shared" ca="1" si="77"/>
        <v>0</v>
      </c>
      <c r="BR91" s="89">
        <f t="shared" ca="1" si="77"/>
        <v>0</v>
      </c>
      <c r="BS91" s="89">
        <f t="shared" ca="1" si="77"/>
        <v>0</v>
      </c>
      <c r="BT91" s="89">
        <f t="shared" ca="1" si="77"/>
        <v>0</v>
      </c>
      <c r="BU91" s="89">
        <f t="shared" ca="1" si="77"/>
        <v>0</v>
      </c>
    </row>
    <row r="94" spans="2:74">
      <c r="B94" s="88" t="s">
        <v>243</v>
      </c>
      <c r="K94" s="124">
        <f>SUM(M94:BU94)</f>
        <v>9071500.4068380184</v>
      </c>
      <c r="M94" s="89">
        <f t="shared" ref="M94:AR94" si="78">(M3&lt;=$E$86)*(-M32+M82+M89)</f>
        <v>-4040000</v>
      </c>
      <c r="N94" s="89">
        <f t="shared" si="78"/>
        <v>-249081.11153112334</v>
      </c>
      <c r="O94" s="89">
        <f t="shared" si="78"/>
        <v>-509427.05142543738</v>
      </c>
      <c r="P94" s="89">
        <f t="shared" si="78"/>
        <v>-752578.34130000928</v>
      </c>
      <c r="Q94" s="89">
        <f t="shared" si="78"/>
        <v>-967908.10301798326</v>
      </c>
      <c r="R94" s="89">
        <f t="shared" si="78"/>
        <v>-1146005.3927254458</v>
      </c>
      <c r="S94" s="89">
        <f t="shared" si="78"/>
        <v>-1279086.5042565707</v>
      </c>
      <c r="T94" s="89">
        <f t="shared" si="78"/>
        <v>-1361335.1544434205</v>
      </c>
      <c r="U94" s="89">
        <f t="shared" si="78"/>
        <v>-1389156.6826000183</v>
      </c>
      <c r="V94" s="89">
        <f t="shared" si="78"/>
        <v>-1361335.1544434205</v>
      </c>
      <c r="W94" s="89">
        <f t="shared" si="78"/>
        <v>-1363800.3577517578</v>
      </c>
      <c r="X94" s="89">
        <f t="shared" si="78"/>
        <v>-1230719.2462206343</v>
      </c>
      <c r="Y94" s="89">
        <f t="shared" si="78"/>
        <v>-1052621.9565131732</v>
      </c>
      <c r="Z94" s="89">
        <f t="shared" si="78"/>
        <v>-837292.1947951992</v>
      </c>
      <c r="AA94" s="89">
        <f t="shared" si="78"/>
        <v>-594140.90492062527</v>
      </c>
      <c r="AB94" s="89">
        <f t="shared" si="78"/>
        <v>-333794.96502631193</v>
      </c>
      <c r="AC94" s="89">
        <f t="shared" si="78"/>
        <v>-220809.09159042669</v>
      </c>
      <c r="AD94" s="89">
        <f t="shared" si="78"/>
        <v>-132904.76190476192</v>
      </c>
      <c r="AE94" s="89">
        <f t="shared" si="78"/>
        <v>-129714.28571428572</v>
      </c>
      <c r="AF94" s="89">
        <f t="shared" si="78"/>
        <v>-107476.19047619047</v>
      </c>
      <c r="AG94" s="89">
        <f t="shared" si="78"/>
        <v>-85238.095238095237</v>
      </c>
      <c r="AH94" s="89">
        <f t="shared" si="78"/>
        <v>-63000</v>
      </c>
      <c r="AI94" s="89">
        <f t="shared" si="78"/>
        <v>-40761.904761904763</v>
      </c>
      <c r="AJ94" s="89">
        <f t="shared" si="78"/>
        <v>92571.42857142858</v>
      </c>
      <c r="AK94" s="89">
        <f t="shared" si="78"/>
        <v>111619.04761904763</v>
      </c>
      <c r="AL94" s="89">
        <f t="shared" si="78"/>
        <v>122883.33333333334</v>
      </c>
      <c r="AM94" s="89">
        <f t="shared" si="78"/>
        <v>122883.33333333334</v>
      </c>
      <c r="AN94" s="89">
        <f t="shared" si="78"/>
        <v>122883.33333333334</v>
      </c>
      <c r="AO94" s="89">
        <f t="shared" si="78"/>
        <v>123312.6904761905</v>
      </c>
      <c r="AP94" s="89">
        <f t="shared" si="78"/>
        <v>123855.54761904766</v>
      </c>
      <c r="AQ94" s="89">
        <f t="shared" si="78"/>
        <v>124398.40476190479</v>
      </c>
      <c r="AR94" s="89">
        <f t="shared" si="78"/>
        <v>124941.26190476192</v>
      </c>
      <c r="AS94" s="89">
        <f t="shared" ref="AS94:BU94" si="79">(AS3&lt;=$E$86)*(-AS32+AS82+AS89)</f>
        <v>125484.11904761908</v>
      </c>
      <c r="AT94" s="89">
        <f t="shared" si="79"/>
        <v>126026.97619047621</v>
      </c>
      <c r="AU94" s="89">
        <f t="shared" si="79"/>
        <v>126569.83333333334</v>
      </c>
      <c r="AV94" s="89">
        <f t="shared" si="79"/>
        <v>126569.83333333334</v>
      </c>
      <c r="AW94" s="89">
        <f t="shared" si="79"/>
        <v>26745688.714637678</v>
      </c>
      <c r="AX94" s="89">
        <f t="shared" si="79"/>
        <v>0</v>
      </c>
      <c r="AY94" s="89">
        <f t="shared" si="79"/>
        <v>0</v>
      </c>
      <c r="AZ94" s="89">
        <f t="shared" si="79"/>
        <v>0</v>
      </c>
      <c r="BA94" s="89">
        <f t="shared" si="79"/>
        <v>0</v>
      </c>
      <c r="BB94" s="89">
        <f t="shared" si="79"/>
        <v>0</v>
      </c>
      <c r="BC94" s="89">
        <f t="shared" si="79"/>
        <v>0</v>
      </c>
      <c r="BD94" s="89">
        <f t="shared" si="79"/>
        <v>0</v>
      </c>
      <c r="BE94" s="89">
        <f t="shared" si="79"/>
        <v>0</v>
      </c>
      <c r="BF94" s="89">
        <f t="shared" si="79"/>
        <v>0</v>
      </c>
      <c r="BG94" s="89">
        <f t="shared" si="79"/>
        <v>0</v>
      </c>
      <c r="BH94" s="89">
        <f t="shared" si="79"/>
        <v>0</v>
      </c>
      <c r="BI94" s="89">
        <f t="shared" si="79"/>
        <v>0</v>
      </c>
      <c r="BJ94" s="89">
        <f t="shared" si="79"/>
        <v>0</v>
      </c>
      <c r="BK94" s="89">
        <f t="shared" si="79"/>
        <v>0</v>
      </c>
      <c r="BL94" s="89">
        <f t="shared" si="79"/>
        <v>0</v>
      </c>
      <c r="BM94" s="89">
        <f t="shared" si="79"/>
        <v>0</v>
      </c>
      <c r="BN94" s="89">
        <f t="shared" si="79"/>
        <v>0</v>
      </c>
      <c r="BO94" s="89">
        <f t="shared" si="79"/>
        <v>0</v>
      </c>
      <c r="BP94" s="89">
        <f t="shared" si="79"/>
        <v>0</v>
      </c>
      <c r="BQ94" s="89">
        <f t="shared" si="79"/>
        <v>0</v>
      </c>
      <c r="BR94" s="89">
        <f t="shared" si="79"/>
        <v>0</v>
      </c>
      <c r="BS94" s="89">
        <f t="shared" si="79"/>
        <v>0</v>
      </c>
      <c r="BT94" s="89">
        <f t="shared" si="79"/>
        <v>0</v>
      </c>
      <c r="BU94" s="89">
        <f t="shared" si="79"/>
        <v>0</v>
      </c>
    </row>
    <row r="95" spans="2:74">
      <c r="B95" s="133" t="s">
        <v>244</v>
      </c>
      <c r="K95" s="43">
        <f>XIRR(M94:BU94,M4:BU4)</f>
        <v>0.1734518349170685</v>
      </c>
    </row>
    <row r="96" spans="2:74">
      <c r="B96" s="133" t="s">
        <v>245</v>
      </c>
      <c r="K96" s="134">
        <f>SUMIF(M94:BU94,"&gt;0")/-SUMIF(M94:BU94,"&lt;0")</f>
        <v>1.4712911504053583</v>
      </c>
    </row>
    <row r="98" spans="2:73">
      <c r="B98" s="88" t="s">
        <v>246</v>
      </c>
      <c r="K98" s="124">
        <f ca="1">SUM(M98:BU98)</f>
        <v>6890962.5634612329</v>
      </c>
      <c r="M98" s="89">
        <f t="shared" ref="M98:AR98" ca="1" si="80">(M3&lt;=$E$86)*(-M38+M82+M91)</f>
        <v>-4169201.2089070585</v>
      </c>
      <c r="N98" s="89">
        <f t="shared" ca="1" si="80"/>
        <v>-249081.11153112334</v>
      </c>
      <c r="O98" s="89">
        <f t="shared" ca="1" si="80"/>
        <v>-509427.05142543738</v>
      </c>
      <c r="P98" s="89">
        <f t="shared" ca="1" si="80"/>
        <v>-752578.34130000928</v>
      </c>
      <c r="Q98" s="89">
        <f t="shared" ca="1" si="80"/>
        <v>-967908.10301798326</v>
      </c>
      <c r="R98" s="89">
        <f t="shared" ca="1" si="80"/>
        <v>-1146005.3927254458</v>
      </c>
      <c r="S98" s="89">
        <f t="shared" ca="1" si="80"/>
        <v>-819212.71823769435</v>
      </c>
      <c r="T98" s="89">
        <f t="shared" ca="1" si="80"/>
        <v>0</v>
      </c>
      <c r="U98" s="89">
        <f t="shared" ca="1" si="80"/>
        <v>0</v>
      </c>
      <c r="V98" s="89">
        <f t="shared" ca="1" si="80"/>
        <v>0</v>
      </c>
      <c r="W98" s="89">
        <f t="shared" ca="1" si="80"/>
        <v>0</v>
      </c>
      <c r="X98" s="89">
        <f t="shared" ca="1" si="80"/>
        <v>0</v>
      </c>
      <c r="Y98" s="89">
        <f t="shared" ca="1" si="80"/>
        <v>0</v>
      </c>
      <c r="Z98" s="89">
        <f t="shared" ca="1" si="80"/>
        <v>0</v>
      </c>
      <c r="AA98" s="89">
        <f t="shared" ca="1" si="80"/>
        <v>0</v>
      </c>
      <c r="AB98" s="89">
        <f t="shared" ca="1" si="80"/>
        <v>0</v>
      </c>
      <c r="AC98" s="89">
        <f t="shared" ca="1" si="80"/>
        <v>-21809.523809523813</v>
      </c>
      <c r="AD98" s="89">
        <f t="shared" ca="1" si="80"/>
        <v>-18619.047619047622</v>
      </c>
      <c r="AE98" s="89">
        <f t="shared" ca="1" si="80"/>
        <v>-15428.571428571431</v>
      </c>
      <c r="AF98" s="89">
        <f t="shared" ca="1" si="80"/>
        <v>6809.5238095238092</v>
      </c>
      <c r="AG98" s="89">
        <f t="shared" ca="1" si="80"/>
        <v>29047.61904761905</v>
      </c>
      <c r="AH98" s="89">
        <f t="shared" ca="1" si="80"/>
        <v>51285.71428571429</v>
      </c>
      <c r="AI98" s="89">
        <f t="shared" ca="1" si="80"/>
        <v>73523.809523809527</v>
      </c>
      <c r="AJ98" s="89">
        <f t="shared" ca="1" si="80"/>
        <v>92571.42857142858</v>
      </c>
      <c r="AK98" s="89">
        <f t="shared" ca="1" si="80"/>
        <v>111619.04761904763</v>
      </c>
      <c r="AL98" s="89">
        <f t="shared" ca="1" si="80"/>
        <v>122883.33333333334</v>
      </c>
      <c r="AM98" s="89">
        <f t="shared" ca="1" si="80"/>
        <v>122883.33333333334</v>
      </c>
      <c r="AN98" s="89">
        <f t="shared" ca="1" si="80"/>
        <v>122883.33333333334</v>
      </c>
      <c r="AO98" s="89">
        <f t="shared" ca="1" si="80"/>
        <v>123312.6904761905</v>
      </c>
      <c r="AP98" s="89">
        <f t="shared" ca="1" si="80"/>
        <v>123855.54761904766</v>
      </c>
      <c r="AQ98" s="89">
        <f t="shared" ca="1" si="80"/>
        <v>124398.40476190479</v>
      </c>
      <c r="AR98" s="89">
        <f t="shared" ca="1" si="80"/>
        <v>124941.26190476192</v>
      </c>
      <c r="AS98" s="89">
        <f t="shared" ref="AS98:BU98" ca="1" si="81">(AS3&lt;=$E$86)*(-AS38+AS82+AS91)</f>
        <v>125484.11904761908</v>
      </c>
      <c r="AT98" s="89">
        <f t="shared" ca="1" si="81"/>
        <v>126026.97619047621</v>
      </c>
      <c r="AU98" s="89">
        <f t="shared" ca="1" si="81"/>
        <v>126569.83333333334</v>
      </c>
      <c r="AV98" s="89">
        <f t="shared" ca="1" si="81"/>
        <v>126569.83333333334</v>
      </c>
      <c r="AW98" s="89">
        <f t="shared" ca="1" si="81"/>
        <v>13825567.823920552</v>
      </c>
      <c r="AX98" s="89">
        <f t="shared" ca="1" si="81"/>
        <v>0</v>
      </c>
      <c r="AY98" s="89">
        <f t="shared" ca="1" si="81"/>
        <v>0</v>
      </c>
      <c r="AZ98" s="89">
        <f t="shared" ca="1" si="81"/>
        <v>0</v>
      </c>
      <c r="BA98" s="89">
        <f t="shared" ca="1" si="81"/>
        <v>0</v>
      </c>
      <c r="BB98" s="89">
        <f t="shared" ca="1" si="81"/>
        <v>0</v>
      </c>
      <c r="BC98" s="89">
        <f t="shared" ca="1" si="81"/>
        <v>0</v>
      </c>
      <c r="BD98" s="89">
        <f t="shared" ca="1" si="81"/>
        <v>0</v>
      </c>
      <c r="BE98" s="89">
        <f t="shared" ca="1" si="81"/>
        <v>0</v>
      </c>
      <c r="BF98" s="89">
        <f t="shared" ca="1" si="81"/>
        <v>0</v>
      </c>
      <c r="BG98" s="89">
        <f t="shared" ca="1" si="81"/>
        <v>0</v>
      </c>
      <c r="BH98" s="89">
        <f t="shared" ca="1" si="81"/>
        <v>0</v>
      </c>
      <c r="BI98" s="89">
        <f t="shared" ca="1" si="81"/>
        <v>0</v>
      </c>
      <c r="BJ98" s="89">
        <f t="shared" ca="1" si="81"/>
        <v>0</v>
      </c>
      <c r="BK98" s="89">
        <f t="shared" ca="1" si="81"/>
        <v>0</v>
      </c>
      <c r="BL98" s="89">
        <f t="shared" ca="1" si="81"/>
        <v>0</v>
      </c>
      <c r="BM98" s="89">
        <f t="shared" ca="1" si="81"/>
        <v>0</v>
      </c>
      <c r="BN98" s="89">
        <f t="shared" ca="1" si="81"/>
        <v>0</v>
      </c>
      <c r="BO98" s="89">
        <f t="shared" ca="1" si="81"/>
        <v>0</v>
      </c>
      <c r="BP98" s="89">
        <f t="shared" ca="1" si="81"/>
        <v>0</v>
      </c>
      <c r="BQ98" s="89">
        <f t="shared" ca="1" si="81"/>
        <v>0</v>
      </c>
      <c r="BR98" s="89">
        <f t="shared" ca="1" si="81"/>
        <v>0</v>
      </c>
      <c r="BS98" s="89">
        <f t="shared" ca="1" si="81"/>
        <v>0</v>
      </c>
      <c r="BT98" s="89">
        <f t="shared" ca="1" si="81"/>
        <v>0</v>
      </c>
      <c r="BU98" s="89">
        <f t="shared" ca="1" si="81"/>
        <v>0</v>
      </c>
    </row>
    <row r="99" spans="2:73">
      <c r="B99" s="133" t="s">
        <v>244</v>
      </c>
      <c r="K99" s="43">
        <f ca="1">XIRR(M98:BU98,M4:BU4)</f>
        <v>0.23697549700736995</v>
      </c>
    </row>
    <row r="100" spans="2:73">
      <c r="B100" s="133" t="s">
        <v>245</v>
      </c>
      <c r="K100" s="134">
        <f ca="1">SUMIF(M98:BU98,"&gt;0")/-SUMIF(M98:BU98,"&lt;0")</f>
        <v>1.7948721994963479</v>
      </c>
    </row>
    <row r="102" spans="2:73">
      <c r="B102" s="88" t="s">
        <v>247</v>
      </c>
    </row>
    <row r="103" spans="2:73">
      <c r="D103" s="10" t="s">
        <v>250</v>
      </c>
      <c r="E103" s="10" t="s">
        <v>3</v>
      </c>
      <c r="F103" s="1"/>
      <c r="G103" s="10" t="s">
        <v>244</v>
      </c>
      <c r="H103" s="10" t="s">
        <v>245</v>
      </c>
      <c r="I103" s="10" t="s">
        <v>272</v>
      </c>
    </row>
    <row r="104" spans="2:73">
      <c r="B104" s="88" t="s">
        <v>248</v>
      </c>
      <c r="D104" s="46">
        <f>1-D105</f>
        <v>0.9</v>
      </c>
      <c r="E104" s="89">
        <f ca="1">SUM(M114:BU114)</f>
        <v>7802343.9629949508</v>
      </c>
      <c r="G104" s="6">
        <f ca="1">XIRR(M104:BU104,M4:BU4)</f>
        <v>0.20606405138969419</v>
      </c>
      <c r="H104" s="123">
        <f ca="1">SUMIF(M104:BU104,"&gt;0")/-SUMIF(M104:BU104,"&lt;0")</f>
        <v>1.6725307728781147</v>
      </c>
      <c r="I104" s="89">
        <f ca="1">SUM(M104:BU104)</f>
        <v>5247316.4156883415</v>
      </c>
      <c r="M104" s="89">
        <f ca="1">-M114+M116+M135+M141+M146</f>
        <v>-3752281.0880162292</v>
      </c>
      <c r="N104" s="89">
        <f t="shared" ref="N104:BU104" ca="1" si="82">-N114+N116+N135+N141+N146</f>
        <v>-224173.00037801103</v>
      </c>
      <c r="O104" s="89">
        <f t="shared" ca="1" si="82"/>
        <v>-458484.34628289368</v>
      </c>
      <c r="P104" s="89">
        <f t="shared" ca="1" si="82"/>
        <v>-677320.50717000838</v>
      </c>
      <c r="Q104" s="89">
        <f t="shared" ca="1" si="82"/>
        <v>-871117.29271618498</v>
      </c>
      <c r="R104" s="89">
        <f t="shared" ca="1" si="82"/>
        <v>-1031404.8534529012</v>
      </c>
      <c r="S104" s="89">
        <f t="shared" ca="1" si="82"/>
        <v>-737291.4464072932</v>
      </c>
      <c r="T104" s="89">
        <f t="shared" ca="1" si="82"/>
        <v>0</v>
      </c>
      <c r="U104" s="89">
        <f t="shared" ca="1" si="82"/>
        <v>0</v>
      </c>
      <c r="V104" s="89">
        <f t="shared" ca="1" si="82"/>
        <v>0</v>
      </c>
      <c r="W104" s="89">
        <f t="shared" ca="1" si="82"/>
        <v>0</v>
      </c>
      <c r="X104" s="89">
        <f t="shared" ca="1" si="82"/>
        <v>0</v>
      </c>
      <c r="Y104" s="89">
        <f t="shared" ca="1" si="82"/>
        <v>0</v>
      </c>
      <c r="Z104" s="89">
        <f t="shared" ca="1" si="82"/>
        <v>0</v>
      </c>
      <c r="AA104" s="89">
        <f t="shared" ca="1" si="82"/>
        <v>0</v>
      </c>
      <c r="AB104" s="89">
        <f t="shared" ca="1" si="82"/>
        <v>0</v>
      </c>
      <c r="AC104" s="89">
        <f t="shared" ca="1" si="82"/>
        <v>-19628.571428571431</v>
      </c>
      <c r="AD104" s="89">
        <f t="shared" ca="1" si="82"/>
        <v>-16757.142857142859</v>
      </c>
      <c r="AE104" s="89">
        <f t="shared" ca="1" si="82"/>
        <v>-13885.714285714288</v>
      </c>
      <c r="AF104" s="89">
        <f t="shared" ca="1" si="82"/>
        <v>6128.5714285714284</v>
      </c>
      <c r="AG104" s="89">
        <f t="shared" ca="1" si="82"/>
        <v>26142.857142857145</v>
      </c>
      <c r="AH104" s="89">
        <f t="shared" ca="1" si="82"/>
        <v>46157.142857142862</v>
      </c>
      <c r="AI104" s="89">
        <f t="shared" ca="1" si="82"/>
        <v>66171.42857142858</v>
      </c>
      <c r="AJ104" s="89">
        <f t="shared" ca="1" si="82"/>
        <v>83314.285714285725</v>
      </c>
      <c r="AK104" s="89">
        <f t="shared" ca="1" si="82"/>
        <v>100457.14285714287</v>
      </c>
      <c r="AL104" s="89">
        <f t="shared" ca="1" si="82"/>
        <v>110595.00000000001</v>
      </c>
      <c r="AM104" s="89">
        <f t="shared" ca="1" si="82"/>
        <v>110595.00000000001</v>
      </c>
      <c r="AN104" s="89">
        <f t="shared" ca="1" si="82"/>
        <v>110595.00000000001</v>
      </c>
      <c r="AO104" s="89">
        <f t="shared" ca="1" si="82"/>
        <v>110981.42142857146</v>
      </c>
      <c r="AP104" s="89">
        <f t="shared" ca="1" si="82"/>
        <v>111469.9928571429</v>
      </c>
      <c r="AQ104" s="89">
        <f t="shared" ca="1" si="82"/>
        <v>111958.56428571431</v>
      </c>
      <c r="AR104" s="89">
        <f t="shared" ca="1" si="82"/>
        <v>112447.13571428573</v>
      </c>
      <c r="AS104" s="89">
        <f t="shared" ca="1" si="82"/>
        <v>112935.70714285718</v>
      </c>
      <c r="AT104" s="89">
        <f t="shared" ca="1" si="82"/>
        <v>113424.2785714286</v>
      </c>
      <c r="AU104" s="89">
        <f t="shared" ca="1" si="82"/>
        <v>113912.85</v>
      </c>
      <c r="AV104" s="89">
        <f t="shared" ca="1" si="82"/>
        <v>113912.85</v>
      </c>
      <c r="AW104" s="89">
        <f t="shared" ca="1" si="82"/>
        <v>11488461.150099183</v>
      </c>
      <c r="AX104" s="89">
        <f t="shared" ca="1" si="82"/>
        <v>0</v>
      </c>
      <c r="AY104" s="89">
        <f t="shared" ca="1" si="82"/>
        <v>0</v>
      </c>
      <c r="AZ104" s="89">
        <f t="shared" ca="1" si="82"/>
        <v>0</v>
      </c>
      <c r="BA104" s="89">
        <f t="shared" ca="1" si="82"/>
        <v>0</v>
      </c>
      <c r="BB104" s="89">
        <f t="shared" ca="1" si="82"/>
        <v>0</v>
      </c>
      <c r="BC104" s="89">
        <f t="shared" ca="1" si="82"/>
        <v>0</v>
      </c>
      <c r="BD104" s="89">
        <f t="shared" ca="1" si="82"/>
        <v>0</v>
      </c>
      <c r="BE104" s="89">
        <f t="shared" ca="1" si="82"/>
        <v>0</v>
      </c>
      <c r="BF104" s="89">
        <f t="shared" ca="1" si="82"/>
        <v>0</v>
      </c>
      <c r="BG104" s="89">
        <f t="shared" ca="1" si="82"/>
        <v>0</v>
      </c>
      <c r="BH104" s="89">
        <f t="shared" ca="1" si="82"/>
        <v>0</v>
      </c>
      <c r="BI104" s="89">
        <f t="shared" ca="1" si="82"/>
        <v>0</v>
      </c>
      <c r="BJ104" s="89">
        <f t="shared" ca="1" si="82"/>
        <v>0</v>
      </c>
      <c r="BK104" s="89">
        <f t="shared" ca="1" si="82"/>
        <v>0</v>
      </c>
      <c r="BL104" s="89">
        <f t="shared" ca="1" si="82"/>
        <v>0</v>
      </c>
      <c r="BM104" s="89">
        <f t="shared" ca="1" si="82"/>
        <v>0</v>
      </c>
      <c r="BN104" s="89">
        <f t="shared" ca="1" si="82"/>
        <v>0</v>
      </c>
      <c r="BO104" s="89">
        <f t="shared" ca="1" si="82"/>
        <v>0</v>
      </c>
      <c r="BP104" s="89">
        <f t="shared" ca="1" si="82"/>
        <v>0</v>
      </c>
      <c r="BQ104" s="89">
        <f t="shared" ca="1" si="82"/>
        <v>0</v>
      </c>
      <c r="BR104" s="89">
        <f t="shared" ca="1" si="82"/>
        <v>0</v>
      </c>
      <c r="BS104" s="89">
        <f t="shared" ca="1" si="82"/>
        <v>0</v>
      </c>
      <c r="BT104" s="89">
        <f t="shared" ca="1" si="82"/>
        <v>0</v>
      </c>
      <c r="BU104" s="89">
        <f t="shared" ca="1" si="82"/>
        <v>0</v>
      </c>
    </row>
    <row r="105" spans="2:73" ht="17.25">
      <c r="B105" s="88" t="s">
        <v>249</v>
      </c>
      <c r="D105" s="59">
        <v>0.1</v>
      </c>
      <c r="E105" s="13">
        <f ca="1">SUM(M120:BU120)</f>
        <v>866927.10699943895</v>
      </c>
      <c r="G105" s="51">
        <f ca="1">XIRR(M105:BU105,M4:BU4)</f>
        <v>0.46602867245674129</v>
      </c>
      <c r="H105" s="40">
        <f ca="1">SUMIF(M105:BU105,"&gt;0")/-SUMIF(M105:BU105,"&lt;0")</f>
        <v>2.8959450391237884</v>
      </c>
      <c r="I105" s="13">
        <f ca="1">SUM(M105:BU105)</f>
        <v>1643646.147795788</v>
      </c>
      <c r="M105" s="89">
        <f ca="1">-M120+M121+M130+M136+M142+M147</f>
        <v>-416920.12089069211</v>
      </c>
      <c r="N105" s="89">
        <f t="shared" ref="N105:BU105" ca="1" si="83">-N120+N121+N130+N136+N142+N147</f>
        <v>-24908.111153112335</v>
      </c>
      <c r="O105" s="89">
        <f t="shared" ca="1" si="83"/>
        <v>-50942.705142543738</v>
      </c>
      <c r="P105" s="89">
        <f t="shared" ca="1" si="83"/>
        <v>-75257.834130000934</v>
      </c>
      <c r="Q105" s="89">
        <f t="shared" ca="1" si="83"/>
        <v>-96790.810301798338</v>
      </c>
      <c r="R105" s="89">
        <f t="shared" ca="1" si="83"/>
        <v>-114600.53927254459</v>
      </c>
      <c r="S105" s="89">
        <f t="shared" ca="1" si="83"/>
        <v>-81921.271823032585</v>
      </c>
      <c r="T105" s="89">
        <f t="shared" ca="1" si="83"/>
        <v>0</v>
      </c>
      <c r="U105" s="89">
        <f t="shared" ca="1" si="83"/>
        <v>0</v>
      </c>
      <c r="V105" s="89">
        <f t="shared" ca="1" si="83"/>
        <v>0</v>
      </c>
      <c r="W105" s="89">
        <f t="shared" ca="1" si="83"/>
        <v>0</v>
      </c>
      <c r="X105" s="89">
        <f t="shared" ca="1" si="83"/>
        <v>0</v>
      </c>
      <c r="Y105" s="89">
        <f t="shared" ca="1" si="83"/>
        <v>0</v>
      </c>
      <c r="Z105" s="89">
        <f t="shared" ca="1" si="83"/>
        <v>0</v>
      </c>
      <c r="AA105" s="89">
        <f t="shared" ca="1" si="83"/>
        <v>0</v>
      </c>
      <c r="AB105" s="89">
        <f t="shared" ca="1" si="83"/>
        <v>0</v>
      </c>
      <c r="AC105" s="89">
        <f t="shared" ca="1" si="83"/>
        <v>-2180.9523809523812</v>
      </c>
      <c r="AD105" s="89">
        <f t="shared" ca="1" si="83"/>
        <v>-1861.9047619047624</v>
      </c>
      <c r="AE105" s="89">
        <f t="shared" ca="1" si="83"/>
        <v>-1542.8571428571431</v>
      </c>
      <c r="AF105" s="89">
        <f t="shared" ca="1" si="83"/>
        <v>680.95238095238096</v>
      </c>
      <c r="AG105" s="89">
        <f t="shared" ca="1" si="83"/>
        <v>2904.761904761905</v>
      </c>
      <c r="AH105" s="89">
        <f t="shared" ca="1" si="83"/>
        <v>5128.5714285714294</v>
      </c>
      <c r="AI105" s="89">
        <f t="shared" ca="1" si="83"/>
        <v>7352.3809523809532</v>
      </c>
      <c r="AJ105" s="89">
        <f t="shared" ca="1" si="83"/>
        <v>9257.1428571428587</v>
      </c>
      <c r="AK105" s="89">
        <f t="shared" ca="1" si="83"/>
        <v>11161.904761904763</v>
      </c>
      <c r="AL105" s="89">
        <f t="shared" ca="1" si="83"/>
        <v>12288.333333333336</v>
      </c>
      <c r="AM105" s="89">
        <f t="shared" ca="1" si="83"/>
        <v>12288.333333333336</v>
      </c>
      <c r="AN105" s="89">
        <f t="shared" ca="1" si="83"/>
        <v>12288.333333333336</v>
      </c>
      <c r="AO105" s="89">
        <f t="shared" ca="1" si="83"/>
        <v>12331.269047619051</v>
      </c>
      <c r="AP105" s="89">
        <f t="shared" ca="1" si="83"/>
        <v>12385.554761904767</v>
      </c>
      <c r="AQ105" s="89">
        <f t="shared" ca="1" si="83"/>
        <v>12439.84047619048</v>
      </c>
      <c r="AR105" s="89">
        <f t="shared" ca="1" si="83"/>
        <v>12494.126190476192</v>
      </c>
      <c r="AS105" s="89">
        <f t="shared" ca="1" si="83"/>
        <v>12548.41190476191</v>
      </c>
      <c r="AT105" s="89">
        <f t="shared" ca="1" si="83"/>
        <v>12602.697619047622</v>
      </c>
      <c r="AU105" s="89">
        <f t="shared" ca="1" si="83"/>
        <v>12656.983333333335</v>
      </c>
      <c r="AV105" s="89">
        <f t="shared" ca="1" si="83"/>
        <v>12656.983333333335</v>
      </c>
      <c r="AW105" s="89">
        <f t="shared" ca="1" si="83"/>
        <v>2337106.6738326298</v>
      </c>
      <c r="AX105" s="89">
        <f t="shared" ca="1" si="83"/>
        <v>0</v>
      </c>
      <c r="AY105" s="89">
        <f t="shared" ca="1" si="83"/>
        <v>0</v>
      </c>
      <c r="AZ105" s="89">
        <f t="shared" ca="1" si="83"/>
        <v>0</v>
      </c>
      <c r="BA105" s="89">
        <f t="shared" ca="1" si="83"/>
        <v>0</v>
      </c>
      <c r="BB105" s="89">
        <f t="shared" ca="1" si="83"/>
        <v>0</v>
      </c>
      <c r="BC105" s="89">
        <f t="shared" ca="1" si="83"/>
        <v>0</v>
      </c>
      <c r="BD105" s="89">
        <f t="shared" ca="1" si="83"/>
        <v>0</v>
      </c>
      <c r="BE105" s="89">
        <f t="shared" ca="1" si="83"/>
        <v>0</v>
      </c>
      <c r="BF105" s="89">
        <f t="shared" ca="1" si="83"/>
        <v>0</v>
      </c>
      <c r="BG105" s="89">
        <f t="shared" ca="1" si="83"/>
        <v>0</v>
      </c>
      <c r="BH105" s="89">
        <f t="shared" ca="1" si="83"/>
        <v>0</v>
      </c>
      <c r="BI105" s="89">
        <f t="shared" ca="1" si="83"/>
        <v>0</v>
      </c>
      <c r="BJ105" s="89">
        <f t="shared" ca="1" si="83"/>
        <v>0</v>
      </c>
      <c r="BK105" s="89">
        <f t="shared" ca="1" si="83"/>
        <v>0</v>
      </c>
      <c r="BL105" s="89">
        <f t="shared" ca="1" si="83"/>
        <v>0</v>
      </c>
      <c r="BM105" s="89">
        <f t="shared" ca="1" si="83"/>
        <v>0</v>
      </c>
      <c r="BN105" s="89">
        <f t="shared" ca="1" si="83"/>
        <v>0</v>
      </c>
      <c r="BO105" s="89">
        <f t="shared" ca="1" si="83"/>
        <v>0</v>
      </c>
      <c r="BP105" s="89">
        <f t="shared" ca="1" si="83"/>
        <v>0</v>
      </c>
      <c r="BQ105" s="89">
        <f t="shared" ca="1" si="83"/>
        <v>0</v>
      </c>
      <c r="BR105" s="89">
        <f t="shared" ca="1" si="83"/>
        <v>0</v>
      </c>
      <c r="BS105" s="89">
        <f t="shared" ca="1" si="83"/>
        <v>0</v>
      </c>
      <c r="BT105" s="89">
        <f t="shared" ca="1" si="83"/>
        <v>0</v>
      </c>
      <c r="BU105" s="89">
        <f t="shared" ca="1" si="83"/>
        <v>0</v>
      </c>
    </row>
    <row r="106" spans="2:73">
      <c r="B106" s="88" t="s">
        <v>4</v>
      </c>
      <c r="D106" s="82">
        <f>SUM(D104:D105)</f>
        <v>1</v>
      </c>
      <c r="E106" s="89">
        <f ca="1">SUM(E104:E105)</f>
        <v>8669271.06999439</v>
      </c>
      <c r="G106" s="6">
        <f ca="1">XIRR(M106:BU106,M4:BU4)</f>
        <v>0.23697549700736995</v>
      </c>
      <c r="H106" s="123">
        <f ca="1">SUMIF(M106:BU106,"&gt;0")/-SUMIF(M106:BU106,"&lt;0")</f>
        <v>1.794872199502682</v>
      </c>
      <c r="I106" s="89">
        <f ca="1">SUM(M106:BU106)</f>
        <v>6890962.5634841314</v>
      </c>
      <c r="M106" s="89">
        <f ca="1">SUM(M104:M105)</f>
        <v>-4169201.2089069216</v>
      </c>
      <c r="N106" s="89">
        <f t="shared" ref="N106:BU106" ca="1" si="84">SUM(N104:N105)</f>
        <v>-249081.11153112337</v>
      </c>
      <c r="O106" s="89">
        <f t="shared" ca="1" si="84"/>
        <v>-509427.05142543744</v>
      </c>
      <c r="P106" s="89">
        <f t="shared" ca="1" si="84"/>
        <v>-752578.34130000928</v>
      </c>
      <c r="Q106" s="89">
        <f t="shared" ca="1" si="84"/>
        <v>-967908.10301798326</v>
      </c>
      <c r="R106" s="89">
        <f t="shared" ca="1" si="84"/>
        <v>-1146005.3927254458</v>
      </c>
      <c r="S106" s="89">
        <f t="shared" ca="1" si="84"/>
        <v>-819212.71823032573</v>
      </c>
      <c r="T106" s="89">
        <f t="shared" ca="1" si="84"/>
        <v>0</v>
      </c>
      <c r="U106" s="89">
        <f t="shared" ca="1" si="84"/>
        <v>0</v>
      </c>
      <c r="V106" s="89">
        <f t="shared" ca="1" si="84"/>
        <v>0</v>
      </c>
      <c r="W106" s="89">
        <f t="shared" ca="1" si="84"/>
        <v>0</v>
      </c>
      <c r="X106" s="89">
        <f t="shared" ca="1" si="84"/>
        <v>0</v>
      </c>
      <c r="Y106" s="89">
        <f t="shared" ca="1" si="84"/>
        <v>0</v>
      </c>
      <c r="Z106" s="89">
        <f t="shared" ca="1" si="84"/>
        <v>0</v>
      </c>
      <c r="AA106" s="89">
        <f t="shared" ca="1" si="84"/>
        <v>0</v>
      </c>
      <c r="AB106" s="89">
        <f t="shared" ca="1" si="84"/>
        <v>0</v>
      </c>
      <c r="AC106" s="89">
        <f t="shared" ca="1" si="84"/>
        <v>-21809.523809523813</v>
      </c>
      <c r="AD106" s="89">
        <f t="shared" ca="1" si="84"/>
        <v>-18619.047619047622</v>
      </c>
      <c r="AE106" s="89">
        <f t="shared" ca="1" si="84"/>
        <v>-15428.571428571431</v>
      </c>
      <c r="AF106" s="89">
        <f t="shared" ca="1" si="84"/>
        <v>6809.5238095238092</v>
      </c>
      <c r="AG106" s="89">
        <f t="shared" ca="1" si="84"/>
        <v>29047.61904761905</v>
      </c>
      <c r="AH106" s="89">
        <f t="shared" ca="1" si="84"/>
        <v>51285.71428571429</v>
      </c>
      <c r="AI106" s="89">
        <f t="shared" ca="1" si="84"/>
        <v>73523.809523809527</v>
      </c>
      <c r="AJ106" s="89">
        <f t="shared" ca="1" si="84"/>
        <v>92571.42857142858</v>
      </c>
      <c r="AK106" s="89">
        <f t="shared" ca="1" si="84"/>
        <v>111619.04761904763</v>
      </c>
      <c r="AL106" s="89">
        <f t="shared" ca="1" si="84"/>
        <v>122883.33333333334</v>
      </c>
      <c r="AM106" s="89">
        <f t="shared" ca="1" si="84"/>
        <v>122883.33333333334</v>
      </c>
      <c r="AN106" s="89">
        <f t="shared" ca="1" si="84"/>
        <v>122883.33333333334</v>
      </c>
      <c r="AO106" s="89">
        <f t="shared" ca="1" si="84"/>
        <v>123312.6904761905</v>
      </c>
      <c r="AP106" s="89">
        <f t="shared" ca="1" si="84"/>
        <v>123855.54761904768</v>
      </c>
      <c r="AQ106" s="89">
        <f t="shared" ca="1" si="84"/>
        <v>124398.40476190479</v>
      </c>
      <c r="AR106" s="89">
        <f t="shared" ca="1" si="84"/>
        <v>124941.26190476192</v>
      </c>
      <c r="AS106" s="89">
        <f t="shared" ca="1" si="84"/>
        <v>125484.11904761908</v>
      </c>
      <c r="AT106" s="89">
        <f t="shared" ca="1" si="84"/>
        <v>126026.97619047623</v>
      </c>
      <c r="AU106" s="89">
        <f t="shared" ca="1" si="84"/>
        <v>126569.83333333334</v>
      </c>
      <c r="AV106" s="89">
        <f t="shared" ca="1" si="84"/>
        <v>126569.83333333334</v>
      </c>
      <c r="AW106" s="89">
        <f t="shared" ca="1" si="84"/>
        <v>13825567.823931813</v>
      </c>
      <c r="AX106" s="89">
        <f t="shared" ca="1" si="84"/>
        <v>0</v>
      </c>
      <c r="AY106" s="89">
        <f t="shared" ca="1" si="84"/>
        <v>0</v>
      </c>
      <c r="AZ106" s="89">
        <f t="shared" ca="1" si="84"/>
        <v>0</v>
      </c>
      <c r="BA106" s="89">
        <f t="shared" ca="1" si="84"/>
        <v>0</v>
      </c>
      <c r="BB106" s="89">
        <f t="shared" ca="1" si="84"/>
        <v>0</v>
      </c>
      <c r="BC106" s="89">
        <f t="shared" ca="1" si="84"/>
        <v>0</v>
      </c>
      <c r="BD106" s="89">
        <f t="shared" ca="1" si="84"/>
        <v>0</v>
      </c>
      <c r="BE106" s="89">
        <f t="shared" ca="1" si="84"/>
        <v>0</v>
      </c>
      <c r="BF106" s="89">
        <f t="shared" ca="1" si="84"/>
        <v>0</v>
      </c>
      <c r="BG106" s="89">
        <f t="shared" ca="1" si="84"/>
        <v>0</v>
      </c>
      <c r="BH106" s="89">
        <f t="shared" ca="1" si="84"/>
        <v>0</v>
      </c>
      <c r="BI106" s="89">
        <f t="shared" ca="1" si="84"/>
        <v>0</v>
      </c>
      <c r="BJ106" s="89">
        <f t="shared" ca="1" si="84"/>
        <v>0</v>
      </c>
      <c r="BK106" s="89">
        <f t="shared" ca="1" si="84"/>
        <v>0</v>
      </c>
      <c r="BL106" s="89">
        <f t="shared" ca="1" si="84"/>
        <v>0</v>
      </c>
      <c r="BM106" s="89">
        <f t="shared" ca="1" si="84"/>
        <v>0</v>
      </c>
      <c r="BN106" s="89">
        <f t="shared" ca="1" si="84"/>
        <v>0</v>
      </c>
      <c r="BO106" s="89">
        <f t="shared" ca="1" si="84"/>
        <v>0</v>
      </c>
      <c r="BP106" s="89">
        <f t="shared" ca="1" si="84"/>
        <v>0</v>
      </c>
      <c r="BQ106" s="89">
        <f t="shared" ca="1" si="84"/>
        <v>0</v>
      </c>
      <c r="BR106" s="89">
        <f t="shared" ca="1" si="84"/>
        <v>0</v>
      </c>
      <c r="BS106" s="89">
        <f t="shared" ca="1" si="84"/>
        <v>0</v>
      </c>
      <c r="BT106" s="89">
        <f t="shared" ca="1" si="84"/>
        <v>0</v>
      </c>
      <c r="BU106" s="89">
        <f t="shared" ca="1" si="84"/>
        <v>0</v>
      </c>
    </row>
    <row r="107" spans="2:73">
      <c r="D107" s="82"/>
      <c r="E107" s="135"/>
      <c r="K107" s="70"/>
    </row>
    <row r="108" spans="2:73">
      <c r="K108" s="113" t="s">
        <v>251</v>
      </c>
      <c r="M108" s="89">
        <f ca="1">-MIN(M98,0)</f>
        <v>4169201.2089070585</v>
      </c>
      <c r="N108" s="89">
        <f t="shared" ref="N108:BU108" ca="1" si="85">-MIN(N98,0)</f>
        <v>249081.11153112334</v>
      </c>
      <c r="O108" s="89">
        <f t="shared" ca="1" si="85"/>
        <v>509427.05142543738</v>
      </c>
      <c r="P108" s="89">
        <f t="shared" ca="1" si="85"/>
        <v>752578.34130000928</v>
      </c>
      <c r="Q108" s="89">
        <f t="shared" ca="1" si="85"/>
        <v>967908.10301798326</v>
      </c>
      <c r="R108" s="89">
        <f t="shared" ca="1" si="85"/>
        <v>1146005.3927254458</v>
      </c>
      <c r="S108" s="89">
        <f t="shared" ca="1" si="85"/>
        <v>819212.71823769435</v>
      </c>
      <c r="T108" s="89">
        <f t="shared" ca="1" si="85"/>
        <v>0</v>
      </c>
      <c r="U108" s="89">
        <f t="shared" ca="1" si="85"/>
        <v>0</v>
      </c>
      <c r="V108" s="89">
        <f t="shared" ca="1" si="85"/>
        <v>0</v>
      </c>
      <c r="W108" s="89">
        <f t="shared" ca="1" si="85"/>
        <v>0</v>
      </c>
      <c r="X108" s="89">
        <f t="shared" ca="1" si="85"/>
        <v>0</v>
      </c>
      <c r="Y108" s="89">
        <f t="shared" ca="1" si="85"/>
        <v>0</v>
      </c>
      <c r="Z108" s="89">
        <f t="shared" ca="1" si="85"/>
        <v>0</v>
      </c>
      <c r="AA108" s="89">
        <f t="shared" ca="1" si="85"/>
        <v>0</v>
      </c>
      <c r="AB108" s="89">
        <f t="shared" ca="1" si="85"/>
        <v>0</v>
      </c>
      <c r="AC108" s="89">
        <f t="shared" ca="1" si="85"/>
        <v>21809.523809523813</v>
      </c>
      <c r="AD108" s="89">
        <f t="shared" ca="1" si="85"/>
        <v>18619.047619047622</v>
      </c>
      <c r="AE108" s="89">
        <f t="shared" ca="1" si="85"/>
        <v>15428.571428571431</v>
      </c>
      <c r="AF108" s="89">
        <f t="shared" ca="1" si="85"/>
        <v>0</v>
      </c>
      <c r="AG108" s="89">
        <f t="shared" ca="1" si="85"/>
        <v>0</v>
      </c>
      <c r="AH108" s="89">
        <f t="shared" ca="1" si="85"/>
        <v>0</v>
      </c>
      <c r="AI108" s="89">
        <f t="shared" ca="1" si="85"/>
        <v>0</v>
      </c>
      <c r="AJ108" s="89">
        <f t="shared" ca="1" si="85"/>
        <v>0</v>
      </c>
      <c r="AK108" s="89">
        <f t="shared" ca="1" si="85"/>
        <v>0</v>
      </c>
      <c r="AL108" s="89">
        <f t="shared" ca="1" si="85"/>
        <v>0</v>
      </c>
      <c r="AM108" s="89">
        <f t="shared" ca="1" si="85"/>
        <v>0</v>
      </c>
      <c r="AN108" s="89">
        <f t="shared" ca="1" si="85"/>
        <v>0</v>
      </c>
      <c r="AO108" s="89">
        <f t="shared" ca="1" si="85"/>
        <v>0</v>
      </c>
      <c r="AP108" s="89">
        <f t="shared" ca="1" si="85"/>
        <v>0</v>
      </c>
      <c r="AQ108" s="89">
        <f t="shared" ca="1" si="85"/>
        <v>0</v>
      </c>
      <c r="AR108" s="89">
        <f t="shared" ca="1" si="85"/>
        <v>0</v>
      </c>
      <c r="AS108" s="89">
        <f t="shared" ca="1" si="85"/>
        <v>0</v>
      </c>
      <c r="AT108" s="89">
        <f t="shared" ca="1" si="85"/>
        <v>0</v>
      </c>
      <c r="AU108" s="89">
        <f t="shared" ca="1" si="85"/>
        <v>0</v>
      </c>
      <c r="AV108" s="89">
        <f t="shared" ca="1" si="85"/>
        <v>0</v>
      </c>
      <c r="AW108" s="89">
        <f t="shared" ca="1" si="85"/>
        <v>0</v>
      </c>
      <c r="AX108" s="89">
        <f t="shared" ca="1" si="85"/>
        <v>0</v>
      </c>
      <c r="AY108" s="89">
        <f t="shared" ca="1" si="85"/>
        <v>0</v>
      </c>
      <c r="AZ108" s="89">
        <f t="shared" ca="1" si="85"/>
        <v>0</v>
      </c>
      <c r="BA108" s="89">
        <f t="shared" ca="1" si="85"/>
        <v>0</v>
      </c>
      <c r="BB108" s="89">
        <f t="shared" ca="1" si="85"/>
        <v>0</v>
      </c>
      <c r="BC108" s="89">
        <f t="shared" ca="1" si="85"/>
        <v>0</v>
      </c>
      <c r="BD108" s="89">
        <f t="shared" ca="1" si="85"/>
        <v>0</v>
      </c>
      <c r="BE108" s="89">
        <f t="shared" ca="1" si="85"/>
        <v>0</v>
      </c>
      <c r="BF108" s="89">
        <f t="shared" ca="1" si="85"/>
        <v>0</v>
      </c>
      <c r="BG108" s="89">
        <f t="shared" ca="1" si="85"/>
        <v>0</v>
      </c>
      <c r="BH108" s="89">
        <f t="shared" ca="1" si="85"/>
        <v>0</v>
      </c>
      <c r="BI108" s="89">
        <f t="shared" ca="1" si="85"/>
        <v>0</v>
      </c>
      <c r="BJ108" s="89">
        <f t="shared" ca="1" si="85"/>
        <v>0</v>
      </c>
      <c r="BK108" s="89">
        <f t="shared" ca="1" si="85"/>
        <v>0</v>
      </c>
      <c r="BL108" s="89">
        <f t="shared" ca="1" si="85"/>
        <v>0</v>
      </c>
      <c r="BM108" s="89">
        <f t="shared" ca="1" si="85"/>
        <v>0</v>
      </c>
      <c r="BN108" s="89">
        <f t="shared" ca="1" si="85"/>
        <v>0</v>
      </c>
      <c r="BO108" s="89">
        <f t="shared" ca="1" si="85"/>
        <v>0</v>
      </c>
      <c r="BP108" s="89">
        <f t="shared" ca="1" si="85"/>
        <v>0</v>
      </c>
      <c r="BQ108" s="89">
        <f t="shared" ca="1" si="85"/>
        <v>0</v>
      </c>
      <c r="BR108" s="89">
        <f t="shared" ca="1" si="85"/>
        <v>0</v>
      </c>
      <c r="BS108" s="89">
        <f t="shared" ca="1" si="85"/>
        <v>0</v>
      </c>
      <c r="BT108" s="89">
        <f t="shared" ca="1" si="85"/>
        <v>0</v>
      </c>
      <c r="BU108" s="89">
        <f t="shared" ca="1" si="85"/>
        <v>0</v>
      </c>
    </row>
    <row r="109" spans="2:73" ht="17.25">
      <c r="K109" s="113" t="s">
        <v>252</v>
      </c>
      <c r="M109" s="13">
        <f ca="1">MAX(M98,0)</f>
        <v>0</v>
      </c>
      <c r="N109" s="13">
        <f t="shared" ref="N109:BU109" ca="1" si="86">MAX(N98,0)</f>
        <v>0</v>
      </c>
      <c r="O109" s="13">
        <f t="shared" ca="1" si="86"/>
        <v>0</v>
      </c>
      <c r="P109" s="13">
        <f t="shared" ca="1" si="86"/>
        <v>0</v>
      </c>
      <c r="Q109" s="13">
        <f t="shared" ca="1" si="86"/>
        <v>0</v>
      </c>
      <c r="R109" s="13">
        <f t="shared" ca="1" si="86"/>
        <v>0</v>
      </c>
      <c r="S109" s="13">
        <f t="shared" ca="1" si="86"/>
        <v>0</v>
      </c>
      <c r="T109" s="13">
        <f t="shared" ca="1" si="86"/>
        <v>0</v>
      </c>
      <c r="U109" s="13">
        <f t="shared" ca="1" si="86"/>
        <v>0</v>
      </c>
      <c r="V109" s="13">
        <f t="shared" ca="1" si="86"/>
        <v>0</v>
      </c>
      <c r="W109" s="13">
        <f t="shared" ca="1" si="86"/>
        <v>0</v>
      </c>
      <c r="X109" s="13">
        <f t="shared" ca="1" si="86"/>
        <v>0</v>
      </c>
      <c r="Y109" s="13">
        <f t="shared" ca="1" si="86"/>
        <v>0</v>
      </c>
      <c r="Z109" s="13">
        <f t="shared" ca="1" si="86"/>
        <v>0</v>
      </c>
      <c r="AA109" s="13">
        <f t="shared" ca="1" si="86"/>
        <v>0</v>
      </c>
      <c r="AB109" s="13">
        <f t="shared" ca="1" si="86"/>
        <v>0</v>
      </c>
      <c r="AC109" s="13">
        <f t="shared" ca="1" si="86"/>
        <v>0</v>
      </c>
      <c r="AD109" s="13">
        <f t="shared" ca="1" si="86"/>
        <v>0</v>
      </c>
      <c r="AE109" s="13">
        <f t="shared" ca="1" si="86"/>
        <v>0</v>
      </c>
      <c r="AF109" s="13">
        <f t="shared" ca="1" si="86"/>
        <v>6809.5238095238092</v>
      </c>
      <c r="AG109" s="13">
        <f t="shared" ca="1" si="86"/>
        <v>29047.61904761905</v>
      </c>
      <c r="AH109" s="13">
        <f t="shared" ca="1" si="86"/>
        <v>51285.71428571429</v>
      </c>
      <c r="AI109" s="13">
        <f t="shared" ca="1" si="86"/>
        <v>73523.809523809527</v>
      </c>
      <c r="AJ109" s="13">
        <f t="shared" ca="1" si="86"/>
        <v>92571.42857142858</v>
      </c>
      <c r="AK109" s="13">
        <f t="shared" ca="1" si="86"/>
        <v>111619.04761904763</v>
      </c>
      <c r="AL109" s="13">
        <f t="shared" ca="1" si="86"/>
        <v>122883.33333333334</v>
      </c>
      <c r="AM109" s="13">
        <f t="shared" ca="1" si="86"/>
        <v>122883.33333333334</v>
      </c>
      <c r="AN109" s="13">
        <f t="shared" ca="1" si="86"/>
        <v>122883.33333333334</v>
      </c>
      <c r="AO109" s="13">
        <f t="shared" ca="1" si="86"/>
        <v>123312.6904761905</v>
      </c>
      <c r="AP109" s="13">
        <f t="shared" ca="1" si="86"/>
        <v>123855.54761904766</v>
      </c>
      <c r="AQ109" s="13">
        <f t="shared" ca="1" si="86"/>
        <v>124398.40476190479</v>
      </c>
      <c r="AR109" s="13">
        <f t="shared" ca="1" si="86"/>
        <v>124941.26190476192</v>
      </c>
      <c r="AS109" s="13">
        <f t="shared" ca="1" si="86"/>
        <v>125484.11904761908</v>
      </c>
      <c r="AT109" s="13">
        <f t="shared" ca="1" si="86"/>
        <v>126026.97619047621</v>
      </c>
      <c r="AU109" s="13">
        <f t="shared" ca="1" si="86"/>
        <v>126569.83333333334</v>
      </c>
      <c r="AV109" s="13">
        <f t="shared" ca="1" si="86"/>
        <v>126569.83333333334</v>
      </c>
      <c r="AW109" s="13">
        <f t="shared" ca="1" si="86"/>
        <v>13825567.823920552</v>
      </c>
      <c r="AX109" s="13">
        <f t="shared" ca="1" si="86"/>
        <v>0</v>
      </c>
      <c r="AY109" s="13">
        <f t="shared" ca="1" si="86"/>
        <v>0</v>
      </c>
      <c r="AZ109" s="13">
        <f t="shared" ca="1" si="86"/>
        <v>0</v>
      </c>
      <c r="BA109" s="13">
        <f t="shared" ca="1" si="86"/>
        <v>0</v>
      </c>
      <c r="BB109" s="13">
        <f t="shared" ca="1" si="86"/>
        <v>0</v>
      </c>
      <c r="BC109" s="13">
        <f t="shared" ca="1" si="86"/>
        <v>0</v>
      </c>
      <c r="BD109" s="13">
        <f t="shared" ca="1" si="86"/>
        <v>0</v>
      </c>
      <c r="BE109" s="13">
        <f t="shared" ca="1" si="86"/>
        <v>0</v>
      </c>
      <c r="BF109" s="13">
        <f t="shared" ca="1" si="86"/>
        <v>0</v>
      </c>
      <c r="BG109" s="13">
        <f t="shared" ca="1" si="86"/>
        <v>0</v>
      </c>
      <c r="BH109" s="13">
        <f t="shared" ca="1" si="86"/>
        <v>0</v>
      </c>
      <c r="BI109" s="13">
        <f t="shared" ca="1" si="86"/>
        <v>0</v>
      </c>
      <c r="BJ109" s="13">
        <f t="shared" ca="1" si="86"/>
        <v>0</v>
      </c>
      <c r="BK109" s="13">
        <f t="shared" ca="1" si="86"/>
        <v>0</v>
      </c>
      <c r="BL109" s="13">
        <f t="shared" ca="1" si="86"/>
        <v>0</v>
      </c>
      <c r="BM109" s="13">
        <f t="shared" ca="1" si="86"/>
        <v>0</v>
      </c>
      <c r="BN109" s="13">
        <f t="shared" ca="1" si="86"/>
        <v>0</v>
      </c>
      <c r="BO109" s="13">
        <f t="shared" ca="1" si="86"/>
        <v>0</v>
      </c>
      <c r="BP109" s="13">
        <f t="shared" ca="1" si="86"/>
        <v>0</v>
      </c>
      <c r="BQ109" s="13">
        <f t="shared" ca="1" si="86"/>
        <v>0</v>
      </c>
      <c r="BR109" s="13">
        <f t="shared" ca="1" si="86"/>
        <v>0</v>
      </c>
      <c r="BS109" s="13">
        <f t="shared" ca="1" si="86"/>
        <v>0</v>
      </c>
      <c r="BT109" s="13">
        <f t="shared" ca="1" si="86"/>
        <v>0</v>
      </c>
      <c r="BU109" s="13">
        <f t="shared" ca="1" si="86"/>
        <v>0</v>
      </c>
    </row>
    <row r="110" spans="2:73">
      <c r="B110" s="121" t="s">
        <v>263</v>
      </c>
      <c r="D110" s="113" t="s">
        <v>248</v>
      </c>
      <c r="E110" s="113" t="s">
        <v>249</v>
      </c>
      <c r="K110" s="113" t="s">
        <v>253</v>
      </c>
      <c r="M110" s="89">
        <f ca="1">-M108+M109</f>
        <v>-4169201.2089070585</v>
      </c>
      <c r="N110" s="89">
        <f t="shared" ref="N110:BU110" ca="1" si="87">-N108+N109</f>
        <v>-249081.11153112334</v>
      </c>
      <c r="O110" s="89">
        <f t="shared" ca="1" si="87"/>
        <v>-509427.05142543738</v>
      </c>
      <c r="P110" s="89">
        <f t="shared" ca="1" si="87"/>
        <v>-752578.34130000928</v>
      </c>
      <c r="Q110" s="89">
        <f t="shared" ca="1" si="87"/>
        <v>-967908.10301798326</v>
      </c>
      <c r="R110" s="89">
        <f t="shared" ca="1" si="87"/>
        <v>-1146005.3927254458</v>
      </c>
      <c r="S110" s="89">
        <f t="shared" ca="1" si="87"/>
        <v>-819212.71823769435</v>
      </c>
      <c r="T110" s="89">
        <f t="shared" ca="1" si="87"/>
        <v>0</v>
      </c>
      <c r="U110" s="89">
        <f t="shared" ca="1" si="87"/>
        <v>0</v>
      </c>
      <c r="V110" s="89">
        <f t="shared" ca="1" si="87"/>
        <v>0</v>
      </c>
      <c r="W110" s="89">
        <f t="shared" ca="1" si="87"/>
        <v>0</v>
      </c>
      <c r="X110" s="89">
        <f t="shared" ca="1" si="87"/>
        <v>0</v>
      </c>
      <c r="Y110" s="89">
        <f t="shared" ca="1" si="87"/>
        <v>0</v>
      </c>
      <c r="Z110" s="89">
        <f t="shared" ca="1" si="87"/>
        <v>0</v>
      </c>
      <c r="AA110" s="89">
        <f t="shared" ca="1" si="87"/>
        <v>0</v>
      </c>
      <c r="AB110" s="89">
        <f t="shared" ca="1" si="87"/>
        <v>0</v>
      </c>
      <c r="AC110" s="89">
        <f t="shared" ca="1" si="87"/>
        <v>-21809.523809523813</v>
      </c>
      <c r="AD110" s="89">
        <f t="shared" ca="1" si="87"/>
        <v>-18619.047619047622</v>
      </c>
      <c r="AE110" s="89">
        <f t="shared" ca="1" si="87"/>
        <v>-15428.571428571431</v>
      </c>
      <c r="AF110" s="89">
        <f t="shared" ca="1" si="87"/>
        <v>6809.5238095238092</v>
      </c>
      <c r="AG110" s="89">
        <f t="shared" ca="1" si="87"/>
        <v>29047.61904761905</v>
      </c>
      <c r="AH110" s="89">
        <f t="shared" ca="1" si="87"/>
        <v>51285.71428571429</v>
      </c>
      <c r="AI110" s="89">
        <f t="shared" ca="1" si="87"/>
        <v>73523.809523809527</v>
      </c>
      <c r="AJ110" s="89">
        <f t="shared" ca="1" si="87"/>
        <v>92571.42857142858</v>
      </c>
      <c r="AK110" s="89">
        <f t="shared" ca="1" si="87"/>
        <v>111619.04761904763</v>
      </c>
      <c r="AL110" s="89">
        <f t="shared" ca="1" si="87"/>
        <v>122883.33333333334</v>
      </c>
      <c r="AM110" s="89">
        <f t="shared" ca="1" si="87"/>
        <v>122883.33333333334</v>
      </c>
      <c r="AN110" s="89">
        <f t="shared" ca="1" si="87"/>
        <v>122883.33333333334</v>
      </c>
      <c r="AO110" s="89">
        <f t="shared" ca="1" si="87"/>
        <v>123312.6904761905</v>
      </c>
      <c r="AP110" s="89">
        <f t="shared" ca="1" si="87"/>
        <v>123855.54761904766</v>
      </c>
      <c r="AQ110" s="89">
        <f t="shared" ca="1" si="87"/>
        <v>124398.40476190479</v>
      </c>
      <c r="AR110" s="89">
        <f t="shared" ca="1" si="87"/>
        <v>124941.26190476192</v>
      </c>
      <c r="AS110" s="89">
        <f t="shared" ca="1" si="87"/>
        <v>125484.11904761908</v>
      </c>
      <c r="AT110" s="89">
        <f t="shared" ca="1" si="87"/>
        <v>126026.97619047621</v>
      </c>
      <c r="AU110" s="89">
        <f t="shared" ca="1" si="87"/>
        <v>126569.83333333334</v>
      </c>
      <c r="AV110" s="89">
        <f t="shared" ca="1" si="87"/>
        <v>126569.83333333334</v>
      </c>
      <c r="AW110" s="89">
        <f t="shared" ca="1" si="87"/>
        <v>13825567.823920552</v>
      </c>
      <c r="AX110" s="89">
        <f t="shared" ca="1" si="87"/>
        <v>0</v>
      </c>
      <c r="AY110" s="89">
        <f t="shared" ca="1" si="87"/>
        <v>0</v>
      </c>
      <c r="AZ110" s="89">
        <f t="shared" ca="1" si="87"/>
        <v>0</v>
      </c>
      <c r="BA110" s="89">
        <f t="shared" ca="1" si="87"/>
        <v>0</v>
      </c>
      <c r="BB110" s="89">
        <f t="shared" ca="1" si="87"/>
        <v>0</v>
      </c>
      <c r="BC110" s="89">
        <f t="shared" ca="1" si="87"/>
        <v>0</v>
      </c>
      <c r="BD110" s="89">
        <f t="shared" ca="1" si="87"/>
        <v>0</v>
      </c>
      <c r="BE110" s="89">
        <f t="shared" ca="1" si="87"/>
        <v>0</v>
      </c>
      <c r="BF110" s="89">
        <f t="shared" ca="1" si="87"/>
        <v>0</v>
      </c>
      <c r="BG110" s="89">
        <f t="shared" ca="1" si="87"/>
        <v>0</v>
      </c>
      <c r="BH110" s="89">
        <f t="shared" ca="1" si="87"/>
        <v>0</v>
      </c>
      <c r="BI110" s="89">
        <f t="shared" ca="1" si="87"/>
        <v>0</v>
      </c>
      <c r="BJ110" s="89">
        <f t="shared" ca="1" si="87"/>
        <v>0</v>
      </c>
      <c r="BK110" s="89">
        <f t="shared" ca="1" si="87"/>
        <v>0</v>
      </c>
      <c r="BL110" s="89">
        <f t="shared" ca="1" si="87"/>
        <v>0</v>
      </c>
      <c r="BM110" s="89">
        <f t="shared" ca="1" si="87"/>
        <v>0</v>
      </c>
      <c r="BN110" s="89">
        <f t="shared" ca="1" si="87"/>
        <v>0</v>
      </c>
      <c r="BO110" s="89">
        <f t="shared" ca="1" si="87"/>
        <v>0</v>
      </c>
      <c r="BP110" s="89">
        <f t="shared" ca="1" si="87"/>
        <v>0</v>
      </c>
      <c r="BQ110" s="89">
        <f t="shared" ca="1" si="87"/>
        <v>0</v>
      </c>
      <c r="BR110" s="89">
        <f t="shared" ca="1" si="87"/>
        <v>0</v>
      </c>
      <c r="BS110" s="89">
        <f t="shared" ca="1" si="87"/>
        <v>0</v>
      </c>
      <c r="BT110" s="89">
        <f t="shared" ca="1" si="87"/>
        <v>0</v>
      </c>
      <c r="BU110" s="89">
        <f t="shared" ca="1" si="87"/>
        <v>0</v>
      </c>
    </row>
    <row r="111" spans="2:73">
      <c r="B111" s="48">
        <v>0.08</v>
      </c>
      <c r="D111" s="136">
        <f>D104</f>
        <v>0.9</v>
      </c>
      <c r="E111" s="136">
        <f>D105</f>
        <v>0.1</v>
      </c>
      <c r="K111" s="113"/>
    </row>
    <row r="112" spans="2:73">
      <c r="B112" s="121" t="s">
        <v>337</v>
      </c>
      <c r="D112" s="136">
        <v>0</v>
      </c>
      <c r="E112" s="136">
        <f t="shared" ref="E112" si="88">D106</f>
        <v>1</v>
      </c>
      <c r="K112" s="105" t="s">
        <v>254</v>
      </c>
    </row>
    <row r="113" spans="2:73">
      <c r="B113" s="48">
        <v>0.15</v>
      </c>
      <c r="D113" s="136">
        <f>1-E113</f>
        <v>0.8</v>
      </c>
      <c r="E113" s="47">
        <v>0.2</v>
      </c>
      <c r="K113" s="113" t="s">
        <v>255</v>
      </c>
      <c r="M113" s="70">
        <v>0</v>
      </c>
      <c r="N113" s="89">
        <f ca="1">M117</f>
        <v>3752281.0880162292</v>
      </c>
      <c r="O113" s="89">
        <f t="shared" ref="O113:BU113" ca="1" si="89">N117</f>
        <v>4001060.8955773064</v>
      </c>
      <c r="P113" s="89">
        <f t="shared" ca="1" si="89"/>
        <v>4483236.8150579035</v>
      </c>
      <c r="Q113" s="89">
        <f t="shared" ca="1" si="89"/>
        <v>5189957.6100198859</v>
      </c>
      <c r="R113" s="89">
        <f t="shared" ca="1" si="89"/>
        <v>6094008.3686512997</v>
      </c>
      <c r="S113" s="89">
        <f t="shared" ca="1" si="89"/>
        <v>7165376.6697729379</v>
      </c>
      <c r="T113" s="89">
        <f t="shared" ca="1" si="89"/>
        <v>7948136.8282691948</v>
      </c>
      <c r="U113" s="89">
        <f t="shared" ca="1" si="89"/>
        <v>8000259.3280978827</v>
      </c>
      <c r="V113" s="89">
        <f t="shared" ca="1" si="89"/>
        <v>8052723.6382192438</v>
      </c>
      <c r="W113" s="89">
        <f t="shared" ca="1" si="89"/>
        <v>8103823.1113424972</v>
      </c>
      <c r="X113" s="89">
        <f t="shared" ca="1" si="89"/>
        <v>8156966.5747500975</v>
      </c>
      <c r="Y113" s="89">
        <f t="shared" ca="1" si="89"/>
        <v>8208727.5332718734</v>
      </c>
      <c r="Z113" s="89">
        <f t="shared" ca="1" si="89"/>
        <v>8262558.9416412106</v>
      </c>
      <c r="AA113" s="89">
        <f t="shared" ca="1" si="89"/>
        <v>8316743.3670284916</v>
      </c>
      <c r="AB113" s="89">
        <f t="shared" ca="1" si="89"/>
        <v>8367753.6623222632</v>
      </c>
      <c r="AC113" s="89">
        <f t="shared" ca="1" si="89"/>
        <v>8422627.936401464</v>
      </c>
      <c r="AD113" s="89">
        <f t="shared" ca="1" si="89"/>
        <v>8495703.2507118937</v>
      </c>
      <c r="AE113" s="89">
        <f t="shared" ca="1" si="89"/>
        <v>8568173.7388097085</v>
      </c>
      <c r="AF113" s="89">
        <f t="shared" ca="1" si="89"/>
        <v>8636429.7734110635</v>
      </c>
      <c r="AG113" s="89">
        <f t="shared" ca="1" si="89"/>
        <v>8686937.4073025454</v>
      </c>
      <c r="AH113" s="89">
        <f t="shared" ca="1" si="89"/>
        <v>8717761.9757674914</v>
      </c>
      <c r="AI113" s="89">
        <f t="shared" ca="1" si="89"/>
        <v>8726924.3823969048</v>
      </c>
      <c r="AJ113" s="89">
        <f t="shared" ca="1" si="89"/>
        <v>8717982.6070774309</v>
      </c>
      <c r="AK113" s="89">
        <f t="shared" ca="1" si="89"/>
        <v>8689989.2709061168</v>
      </c>
      <c r="AL113" s="89">
        <f t="shared" ca="1" si="89"/>
        <v>8646519.5672790688</v>
      </c>
      <c r="AM113" s="89">
        <f t="shared" ca="1" si="89"/>
        <v>8592626.9397617318</v>
      </c>
      <c r="AN113" s="89">
        <f t="shared" ca="1" si="89"/>
        <v>8532911.6578177847</v>
      </c>
      <c r="AO113" s="89">
        <f t="shared" ca="1" si="89"/>
        <v>8478274.0094120912</v>
      </c>
      <c r="AP113" s="89">
        <f t="shared" ca="1" si="89"/>
        <v>8421092.4394567087</v>
      </c>
      <c r="AQ113" s="89">
        <f t="shared" ca="1" si="89"/>
        <v>8364846.5072447024</v>
      </c>
      <c r="AR113" s="89">
        <f t="shared" ca="1" si="89"/>
        <v>8305968.0273819808</v>
      </c>
      <c r="AS113" s="89">
        <f t="shared" ca="1" si="89"/>
        <v>8247989.986494191</v>
      </c>
      <c r="AT113" s="89">
        <f t="shared" ca="1" si="89"/>
        <v>8189143.1643027961</v>
      </c>
      <c r="AU113" s="89">
        <f t="shared" ca="1" si="89"/>
        <v>8127684.0247406596</v>
      </c>
      <c r="AV113" s="89">
        <f t="shared" ca="1" si="89"/>
        <v>8067071.1142007392</v>
      </c>
      <c r="AW113" s="89">
        <f t="shared" ca="1" si="89"/>
        <v>8004348.7812475441</v>
      </c>
      <c r="AX113" s="89">
        <f t="shared" ca="1" si="89"/>
        <v>0</v>
      </c>
      <c r="AY113" s="89">
        <f t="shared" ca="1" si="89"/>
        <v>0</v>
      </c>
      <c r="AZ113" s="89">
        <f t="shared" ca="1" si="89"/>
        <v>0</v>
      </c>
      <c r="BA113" s="89">
        <f t="shared" ca="1" si="89"/>
        <v>0</v>
      </c>
      <c r="BB113" s="89">
        <f t="shared" ca="1" si="89"/>
        <v>0</v>
      </c>
      <c r="BC113" s="89">
        <f t="shared" ca="1" si="89"/>
        <v>0</v>
      </c>
      <c r="BD113" s="89">
        <f t="shared" ca="1" si="89"/>
        <v>0</v>
      </c>
      <c r="BE113" s="89">
        <f t="shared" ca="1" si="89"/>
        <v>0</v>
      </c>
      <c r="BF113" s="89">
        <f t="shared" ca="1" si="89"/>
        <v>0</v>
      </c>
      <c r="BG113" s="89">
        <f t="shared" ca="1" si="89"/>
        <v>0</v>
      </c>
      <c r="BH113" s="89">
        <f t="shared" ca="1" si="89"/>
        <v>0</v>
      </c>
      <c r="BI113" s="89">
        <f t="shared" ca="1" si="89"/>
        <v>0</v>
      </c>
      <c r="BJ113" s="89">
        <f t="shared" ca="1" si="89"/>
        <v>0</v>
      </c>
      <c r="BK113" s="89">
        <f t="shared" ca="1" si="89"/>
        <v>0</v>
      </c>
      <c r="BL113" s="89">
        <f t="shared" ca="1" si="89"/>
        <v>0</v>
      </c>
      <c r="BM113" s="89">
        <f t="shared" ca="1" si="89"/>
        <v>0</v>
      </c>
      <c r="BN113" s="89">
        <f t="shared" ca="1" si="89"/>
        <v>0</v>
      </c>
      <c r="BO113" s="89">
        <f t="shared" ca="1" si="89"/>
        <v>0</v>
      </c>
      <c r="BP113" s="89">
        <f t="shared" ca="1" si="89"/>
        <v>0</v>
      </c>
      <c r="BQ113" s="89">
        <f t="shared" ca="1" si="89"/>
        <v>0</v>
      </c>
      <c r="BR113" s="89">
        <f t="shared" ca="1" si="89"/>
        <v>0</v>
      </c>
      <c r="BS113" s="89">
        <f t="shared" ca="1" si="89"/>
        <v>0</v>
      </c>
      <c r="BT113" s="89">
        <f t="shared" ca="1" si="89"/>
        <v>0</v>
      </c>
      <c r="BU113" s="89">
        <f t="shared" ca="1" si="89"/>
        <v>0</v>
      </c>
    </row>
    <row r="114" spans="2:73">
      <c r="B114" s="49">
        <v>0.2</v>
      </c>
      <c r="D114" s="136">
        <f t="shared" ref="D114:D115" si="90">1-E114</f>
        <v>0.7</v>
      </c>
      <c r="E114" s="47">
        <v>0.3</v>
      </c>
      <c r="K114" s="113" t="s">
        <v>341</v>
      </c>
      <c r="M114" s="89">
        <f ca="1">M108*$D$104</f>
        <v>3752281.0880163526</v>
      </c>
      <c r="N114" s="89">
        <f t="shared" ref="N114:BU114" ca="1" si="91">N108*$D$104</f>
        <v>224173.00037801103</v>
      </c>
      <c r="O114" s="89">
        <f t="shared" ca="1" si="91"/>
        <v>458484.34628289368</v>
      </c>
      <c r="P114" s="89">
        <f t="shared" ca="1" si="91"/>
        <v>677320.50717000838</v>
      </c>
      <c r="Q114" s="89">
        <f t="shared" ca="1" si="91"/>
        <v>871117.29271618498</v>
      </c>
      <c r="R114" s="89">
        <f t="shared" ca="1" si="91"/>
        <v>1031404.8534529012</v>
      </c>
      <c r="S114" s="89">
        <f t="shared" ca="1" si="91"/>
        <v>737291.44641392492</v>
      </c>
      <c r="T114" s="89">
        <f t="shared" ca="1" si="91"/>
        <v>0</v>
      </c>
      <c r="U114" s="89">
        <f t="shared" ca="1" si="91"/>
        <v>0</v>
      </c>
      <c r="V114" s="89">
        <f t="shared" ca="1" si="91"/>
        <v>0</v>
      </c>
      <c r="W114" s="89">
        <f t="shared" ca="1" si="91"/>
        <v>0</v>
      </c>
      <c r="X114" s="89">
        <f t="shared" ca="1" si="91"/>
        <v>0</v>
      </c>
      <c r="Y114" s="89">
        <f t="shared" ca="1" si="91"/>
        <v>0</v>
      </c>
      <c r="Z114" s="89">
        <f t="shared" ca="1" si="91"/>
        <v>0</v>
      </c>
      <c r="AA114" s="89">
        <f t="shared" ca="1" si="91"/>
        <v>0</v>
      </c>
      <c r="AB114" s="89">
        <f t="shared" ca="1" si="91"/>
        <v>0</v>
      </c>
      <c r="AC114" s="89">
        <f t="shared" ca="1" si="91"/>
        <v>19628.571428571431</v>
      </c>
      <c r="AD114" s="89">
        <f t="shared" ca="1" si="91"/>
        <v>16757.142857142859</v>
      </c>
      <c r="AE114" s="89">
        <f t="shared" ca="1" si="91"/>
        <v>13885.714285714288</v>
      </c>
      <c r="AF114" s="89">
        <f t="shared" ca="1" si="91"/>
        <v>0</v>
      </c>
      <c r="AG114" s="89">
        <f t="shared" ca="1" si="91"/>
        <v>0</v>
      </c>
      <c r="AH114" s="89">
        <f t="shared" ca="1" si="91"/>
        <v>0</v>
      </c>
      <c r="AI114" s="89">
        <f t="shared" ca="1" si="91"/>
        <v>0</v>
      </c>
      <c r="AJ114" s="89">
        <f t="shared" ca="1" si="91"/>
        <v>0</v>
      </c>
      <c r="AK114" s="89">
        <f t="shared" ca="1" si="91"/>
        <v>0</v>
      </c>
      <c r="AL114" s="89">
        <f t="shared" ca="1" si="91"/>
        <v>0</v>
      </c>
      <c r="AM114" s="89">
        <f t="shared" ca="1" si="91"/>
        <v>0</v>
      </c>
      <c r="AN114" s="89">
        <f t="shared" ca="1" si="91"/>
        <v>0</v>
      </c>
      <c r="AO114" s="89">
        <f t="shared" ca="1" si="91"/>
        <v>0</v>
      </c>
      <c r="AP114" s="89">
        <f t="shared" ca="1" si="91"/>
        <v>0</v>
      </c>
      <c r="AQ114" s="89">
        <f t="shared" ca="1" si="91"/>
        <v>0</v>
      </c>
      <c r="AR114" s="89">
        <f t="shared" ca="1" si="91"/>
        <v>0</v>
      </c>
      <c r="AS114" s="89">
        <f t="shared" ca="1" si="91"/>
        <v>0</v>
      </c>
      <c r="AT114" s="89">
        <f t="shared" ca="1" si="91"/>
        <v>0</v>
      </c>
      <c r="AU114" s="89">
        <f t="shared" ca="1" si="91"/>
        <v>0</v>
      </c>
      <c r="AV114" s="89">
        <f t="shared" ca="1" si="91"/>
        <v>0</v>
      </c>
      <c r="AW114" s="89">
        <f t="shared" ca="1" si="91"/>
        <v>0</v>
      </c>
      <c r="AX114" s="89">
        <f t="shared" ca="1" si="91"/>
        <v>0</v>
      </c>
      <c r="AY114" s="89">
        <f t="shared" ca="1" si="91"/>
        <v>0</v>
      </c>
      <c r="AZ114" s="89">
        <f t="shared" ca="1" si="91"/>
        <v>0</v>
      </c>
      <c r="BA114" s="89">
        <f t="shared" ca="1" si="91"/>
        <v>0</v>
      </c>
      <c r="BB114" s="89">
        <f t="shared" ca="1" si="91"/>
        <v>0</v>
      </c>
      <c r="BC114" s="89">
        <f t="shared" ca="1" si="91"/>
        <v>0</v>
      </c>
      <c r="BD114" s="89">
        <f t="shared" ca="1" si="91"/>
        <v>0</v>
      </c>
      <c r="BE114" s="89">
        <f t="shared" ca="1" si="91"/>
        <v>0</v>
      </c>
      <c r="BF114" s="89">
        <f t="shared" ca="1" si="91"/>
        <v>0</v>
      </c>
      <c r="BG114" s="89">
        <f t="shared" ca="1" si="91"/>
        <v>0</v>
      </c>
      <c r="BH114" s="89">
        <f t="shared" ca="1" si="91"/>
        <v>0</v>
      </c>
      <c r="BI114" s="89">
        <f t="shared" ca="1" si="91"/>
        <v>0</v>
      </c>
      <c r="BJ114" s="89">
        <f t="shared" ca="1" si="91"/>
        <v>0</v>
      </c>
      <c r="BK114" s="89">
        <f t="shared" ca="1" si="91"/>
        <v>0</v>
      </c>
      <c r="BL114" s="89">
        <f t="shared" ca="1" si="91"/>
        <v>0</v>
      </c>
      <c r="BM114" s="89">
        <f t="shared" ca="1" si="91"/>
        <v>0</v>
      </c>
      <c r="BN114" s="89">
        <f t="shared" ca="1" si="91"/>
        <v>0</v>
      </c>
      <c r="BO114" s="89">
        <f t="shared" ca="1" si="91"/>
        <v>0</v>
      </c>
      <c r="BP114" s="89">
        <f t="shared" ca="1" si="91"/>
        <v>0</v>
      </c>
      <c r="BQ114" s="89">
        <f t="shared" ca="1" si="91"/>
        <v>0</v>
      </c>
      <c r="BR114" s="89">
        <f t="shared" ca="1" si="91"/>
        <v>0</v>
      </c>
      <c r="BS114" s="89">
        <f t="shared" ca="1" si="91"/>
        <v>0</v>
      </c>
      <c r="BT114" s="89">
        <f t="shared" ca="1" si="91"/>
        <v>0</v>
      </c>
      <c r="BU114" s="89">
        <f t="shared" ca="1" si="91"/>
        <v>0</v>
      </c>
    </row>
    <row r="115" spans="2:73">
      <c r="B115" s="143" t="str">
        <f>TEXT(B114,"0%")&amp;"+"</f>
        <v>20%+</v>
      </c>
      <c r="D115" s="136">
        <f t="shared" si="90"/>
        <v>0.6</v>
      </c>
      <c r="E115" s="7">
        <v>0.4</v>
      </c>
      <c r="K115" s="113" t="s">
        <v>256</v>
      </c>
      <c r="N115" s="89">
        <f t="shared" ref="N115:AS115" ca="1" si="92">N113*((1+$B$111)^((N4-M4)/365)-1)</f>
        <v>24606.807183214827</v>
      </c>
      <c r="O115" s="89">
        <f t="shared" ca="1" si="92"/>
        <v>23691.573197880389</v>
      </c>
      <c r="P115" s="89">
        <f t="shared" ca="1" si="92"/>
        <v>29400.287792176947</v>
      </c>
      <c r="Q115" s="89">
        <f t="shared" ca="1" si="92"/>
        <v>32933.46591546022</v>
      </c>
      <c r="R115" s="89">
        <f t="shared" ca="1" si="92"/>
        <v>39963.447668996028</v>
      </c>
      <c r="S115" s="89">
        <f t="shared" ca="1" si="92"/>
        <v>45468.712089248977</v>
      </c>
      <c r="T115" s="89">
        <f t="shared" ca="1" si="92"/>
        <v>52122.499837139818</v>
      </c>
      <c r="U115" s="89">
        <f t="shared" ca="1" si="92"/>
        <v>52464.310131493257</v>
      </c>
      <c r="V115" s="89">
        <f t="shared" ca="1" si="92"/>
        <v>51099.473135176173</v>
      </c>
      <c r="W115" s="89">
        <f t="shared" ca="1" si="92"/>
        <v>53143.463421368928</v>
      </c>
      <c r="X115" s="89">
        <f t="shared" ca="1" si="92"/>
        <v>51760.958537395709</v>
      </c>
      <c r="Y115" s="89">
        <f t="shared" ca="1" si="92"/>
        <v>53831.408386719988</v>
      </c>
      <c r="Z115" s="89">
        <f t="shared" ca="1" si="92"/>
        <v>54184.425406253962</v>
      </c>
      <c r="AA115" s="89">
        <f t="shared" ca="1" si="92"/>
        <v>51010.295314037437</v>
      </c>
      <c r="AB115" s="89">
        <f t="shared" ca="1" si="92"/>
        <v>54874.274100361072</v>
      </c>
      <c r="AC115" s="89">
        <f t="shared" ca="1" si="92"/>
        <v>53446.742903362145</v>
      </c>
      <c r="AD115" s="89">
        <f t="shared" ca="1" si="92"/>
        <v>55713.345261828843</v>
      </c>
      <c r="AE115" s="89">
        <f t="shared" ca="1" si="92"/>
        <v>54370.320335573939</v>
      </c>
      <c r="AF115" s="89">
        <f t="shared" ca="1" si="92"/>
        <v>56636.205337712316</v>
      </c>
      <c r="AG115" s="89">
        <f t="shared" ca="1" si="92"/>
        <v>56967.42562193286</v>
      </c>
      <c r="AH115" s="89">
        <f t="shared" ca="1" si="92"/>
        <v>55319.549495691113</v>
      </c>
      <c r="AI115" s="89">
        <f t="shared" ca="1" si="92"/>
        <v>57229.653254380064</v>
      </c>
      <c r="AJ115" s="89">
        <f t="shared" ca="1" si="92"/>
        <v>55320.949536745735</v>
      </c>
      <c r="AK115" s="89">
        <f t="shared" ca="1" si="92"/>
        <v>56987.439212994148</v>
      </c>
      <c r="AL115" s="89">
        <f t="shared" ca="1" si="92"/>
        <v>56702.372452170064</v>
      </c>
      <c r="AM115" s="89">
        <f t="shared" ca="1" si="92"/>
        <v>50879.718009408316</v>
      </c>
      <c r="AN115" s="89">
        <f t="shared" ca="1" si="92"/>
        <v>55957.351528356514</v>
      </c>
      <c r="AO115" s="89">
        <f t="shared" ca="1" si="92"/>
        <v>53799.851384496287</v>
      </c>
      <c r="AP115" s="89">
        <f t="shared" ca="1" si="92"/>
        <v>55224.060529881914</v>
      </c>
      <c r="AQ115" s="89">
        <f t="shared" ca="1" si="92"/>
        <v>53080.084277093811</v>
      </c>
      <c r="AR115" s="89">
        <f t="shared" ca="1" si="92"/>
        <v>54469.094645515965</v>
      </c>
      <c r="AS115" s="89">
        <f t="shared" ca="1" si="92"/>
        <v>54088.884730661041</v>
      </c>
      <c r="AT115" s="89">
        <f t="shared" ref="AT115:BU115" ca="1" si="93">AT113*((1+$B$111)^((AT4-AS4)/365)-1)</f>
        <v>51965.138743658608</v>
      </c>
      <c r="AU115" s="89">
        <f t="shared" ca="1" si="93"/>
        <v>53299.939144117721</v>
      </c>
      <c r="AV115" s="89">
        <f t="shared" ca="1" si="93"/>
        <v>51190.516674779894</v>
      </c>
      <c r="AW115" s="89">
        <f t="shared" ca="1" si="93"/>
        <v>52491.128054452143</v>
      </c>
      <c r="AX115" s="89">
        <f t="shared" ca="1" si="93"/>
        <v>0</v>
      </c>
      <c r="AY115" s="89">
        <f t="shared" ca="1" si="93"/>
        <v>0</v>
      </c>
      <c r="AZ115" s="89">
        <f t="shared" ca="1" si="93"/>
        <v>0</v>
      </c>
      <c r="BA115" s="89">
        <f t="shared" ca="1" si="93"/>
        <v>0</v>
      </c>
      <c r="BB115" s="89">
        <f t="shared" ca="1" si="93"/>
        <v>0</v>
      </c>
      <c r="BC115" s="89">
        <f t="shared" ca="1" si="93"/>
        <v>0</v>
      </c>
      <c r="BD115" s="89">
        <f t="shared" ca="1" si="93"/>
        <v>0</v>
      </c>
      <c r="BE115" s="89">
        <f t="shared" ca="1" si="93"/>
        <v>0</v>
      </c>
      <c r="BF115" s="89">
        <f t="shared" ca="1" si="93"/>
        <v>0</v>
      </c>
      <c r="BG115" s="89">
        <f t="shared" ca="1" si="93"/>
        <v>0</v>
      </c>
      <c r="BH115" s="89">
        <f t="shared" ca="1" si="93"/>
        <v>0</v>
      </c>
      <c r="BI115" s="89">
        <f t="shared" ca="1" si="93"/>
        <v>0</v>
      </c>
      <c r="BJ115" s="89">
        <f t="shared" ca="1" si="93"/>
        <v>0</v>
      </c>
      <c r="BK115" s="89">
        <f t="shared" ca="1" si="93"/>
        <v>0</v>
      </c>
      <c r="BL115" s="89">
        <f t="shared" ca="1" si="93"/>
        <v>0</v>
      </c>
      <c r="BM115" s="89">
        <f t="shared" ca="1" si="93"/>
        <v>0</v>
      </c>
      <c r="BN115" s="89">
        <f t="shared" ca="1" si="93"/>
        <v>0</v>
      </c>
      <c r="BO115" s="89">
        <f t="shared" ca="1" si="93"/>
        <v>0</v>
      </c>
      <c r="BP115" s="89">
        <f t="shared" ca="1" si="93"/>
        <v>0</v>
      </c>
      <c r="BQ115" s="89">
        <f t="shared" ca="1" si="93"/>
        <v>0</v>
      </c>
      <c r="BR115" s="89">
        <f t="shared" ca="1" si="93"/>
        <v>0</v>
      </c>
      <c r="BS115" s="89">
        <f t="shared" ca="1" si="93"/>
        <v>0</v>
      </c>
      <c r="BT115" s="89">
        <f t="shared" ca="1" si="93"/>
        <v>0</v>
      </c>
      <c r="BU115" s="89">
        <f t="shared" ca="1" si="93"/>
        <v>0</v>
      </c>
    </row>
    <row r="116" spans="2:73">
      <c r="K116" s="113" t="s">
        <v>257</v>
      </c>
      <c r="M116" s="89">
        <f ca="1">MIN(M109*$D$111,M113+M114+M115)</f>
        <v>0</v>
      </c>
      <c r="N116" s="89">
        <f t="shared" ref="N116:BU116" ca="1" si="94">MIN(N109*$D$111,N113+N114+N115)</f>
        <v>0</v>
      </c>
      <c r="O116" s="89">
        <f t="shared" ca="1" si="94"/>
        <v>0</v>
      </c>
      <c r="P116" s="89">
        <f t="shared" ca="1" si="94"/>
        <v>0</v>
      </c>
      <c r="Q116" s="89">
        <f t="shared" ca="1" si="94"/>
        <v>0</v>
      </c>
      <c r="R116" s="89">
        <f t="shared" ca="1" si="94"/>
        <v>0</v>
      </c>
      <c r="S116" s="89">
        <f t="shared" ca="1" si="94"/>
        <v>0</v>
      </c>
      <c r="T116" s="89">
        <f t="shared" ca="1" si="94"/>
        <v>0</v>
      </c>
      <c r="U116" s="89">
        <f t="shared" ca="1" si="94"/>
        <v>0</v>
      </c>
      <c r="V116" s="89">
        <f t="shared" ca="1" si="94"/>
        <v>0</v>
      </c>
      <c r="W116" s="89">
        <f t="shared" ca="1" si="94"/>
        <v>0</v>
      </c>
      <c r="X116" s="89">
        <f t="shared" ca="1" si="94"/>
        <v>0</v>
      </c>
      <c r="Y116" s="89">
        <f t="shared" ca="1" si="94"/>
        <v>0</v>
      </c>
      <c r="Z116" s="89">
        <f t="shared" ca="1" si="94"/>
        <v>0</v>
      </c>
      <c r="AA116" s="89">
        <f t="shared" ca="1" si="94"/>
        <v>0</v>
      </c>
      <c r="AB116" s="89">
        <f t="shared" ca="1" si="94"/>
        <v>0</v>
      </c>
      <c r="AC116" s="89">
        <f t="shared" ca="1" si="94"/>
        <v>0</v>
      </c>
      <c r="AD116" s="89">
        <f t="shared" ca="1" si="94"/>
        <v>0</v>
      </c>
      <c r="AE116" s="89">
        <f t="shared" ca="1" si="94"/>
        <v>0</v>
      </c>
      <c r="AF116" s="89">
        <f t="shared" ca="1" si="94"/>
        <v>6128.5714285714284</v>
      </c>
      <c r="AG116" s="89">
        <f t="shared" ca="1" si="94"/>
        <v>26142.857142857145</v>
      </c>
      <c r="AH116" s="89">
        <f t="shared" ca="1" si="94"/>
        <v>46157.142857142862</v>
      </c>
      <c r="AI116" s="89">
        <f t="shared" ca="1" si="94"/>
        <v>66171.42857142858</v>
      </c>
      <c r="AJ116" s="89">
        <f t="shared" ca="1" si="94"/>
        <v>83314.285714285725</v>
      </c>
      <c r="AK116" s="89">
        <f t="shared" ca="1" si="94"/>
        <v>100457.14285714287</v>
      </c>
      <c r="AL116" s="89">
        <f t="shared" ca="1" si="94"/>
        <v>110595.00000000001</v>
      </c>
      <c r="AM116" s="89">
        <f t="shared" ca="1" si="94"/>
        <v>110595.00000000001</v>
      </c>
      <c r="AN116" s="89">
        <f t="shared" ca="1" si="94"/>
        <v>110595.00000000001</v>
      </c>
      <c r="AO116" s="89">
        <f t="shared" ca="1" si="94"/>
        <v>110981.42142857146</v>
      </c>
      <c r="AP116" s="89">
        <f t="shared" ca="1" si="94"/>
        <v>111469.9928571429</v>
      </c>
      <c r="AQ116" s="89">
        <f t="shared" ca="1" si="94"/>
        <v>111958.56428571431</v>
      </c>
      <c r="AR116" s="89">
        <f t="shared" ca="1" si="94"/>
        <v>112447.13571428573</v>
      </c>
      <c r="AS116" s="89">
        <f t="shared" ca="1" si="94"/>
        <v>112935.70714285718</v>
      </c>
      <c r="AT116" s="89">
        <f t="shared" ca="1" si="94"/>
        <v>113424.2785714286</v>
      </c>
      <c r="AU116" s="89">
        <f t="shared" ca="1" si="94"/>
        <v>113912.85</v>
      </c>
      <c r="AV116" s="89">
        <f t="shared" ca="1" si="94"/>
        <v>113912.85</v>
      </c>
      <c r="AW116" s="89">
        <f t="shared" ca="1" si="94"/>
        <v>8056839.9093019962</v>
      </c>
      <c r="AX116" s="89">
        <f t="shared" ca="1" si="94"/>
        <v>0</v>
      </c>
      <c r="AY116" s="89">
        <f t="shared" ca="1" si="94"/>
        <v>0</v>
      </c>
      <c r="AZ116" s="89">
        <f t="shared" ca="1" si="94"/>
        <v>0</v>
      </c>
      <c r="BA116" s="89">
        <f t="shared" ca="1" si="94"/>
        <v>0</v>
      </c>
      <c r="BB116" s="89">
        <f t="shared" ca="1" si="94"/>
        <v>0</v>
      </c>
      <c r="BC116" s="89">
        <f t="shared" ca="1" si="94"/>
        <v>0</v>
      </c>
      <c r="BD116" s="89">
        <f t="shared" ca="1" si="94"/>
        <v>0</v>
      </c>
      <c r="BE116" s="89">
        <f t="shared" ca="1" si="94"/>
        <v>0</v>
      </c>
      <c r="BF116" s="89">
        <f t="shared" ca="1" si="94"/>
        <v>0</v>
      </c>
      <c r="BG116" s="89">
        <f t="shared" ca="1" si="94"/>
        <v>0</v>
      </c>
      <c r="BH116" s="89">
        <f t="shared" ca="1" si="94"/>
        <v>0</v>
      </c>
      <c r="BI116" s="89">
        <f t="shared" ca="1" si="94"/>
        <v>0</v>
      </c>
      <c r="BJ116" s="89">
        <f t="shared" ca="1" si="94"/>
        <v>0</v>
      </c>
      <c r="BK116" s="89">
        <f t="shared" ca="1" si="94"/>
        <v>0</v>
      </c>
      <c r="BL116" s="89">
        <f t="shared" ca="1" si="94"/>
        <v>0</v>
      </c>
      <c r="BM116" s="89">
        <f t="shared" ca="1" si="94"/>
        <v>0</v>
      </c>
      <c r="BN116" s="89">
        <f t="shared" ca="1" si="94"/>
        <v>0</v>
      </c>
      <c r="BO116" s="89">
        <f t="shared" ca="1" si="94"/>
        <v>0</v>
      </c>
      <c r="BP116" s="89">
        <f t="shared" ca="1" si="94"/>
        <v>0</v>
      </c>
      <c r="BQ116" s="89">
        <f t="shared" ca="1" si="94"/>
        <v>0</v>
      </c>
      <c r="BR116" s="89">
        <f t="shared" ca="1" si="94"/>
        <v>0</v>
      </c>
      <c r="BS116" s="89">
        <f t="shared" ca="1" si="94"/>
        <v>0</v>
      </c>
      <c r="BT116" s="89">
        <f t="shared" ca="1" si="94"/>
        <v>0</v>
      </c>
      <c r="BU116" s="89">
        <f t="shared" ca="1" si="94"/>
        <v>0</v>
      </c>
    </row>
    <row r="117" spans="2:73">
      <c r="K117" s="113" t="s">
        <v>342</v>
      </c>
      <c r="M117" s="89">
        <f ca="1">M113+M114+M115-M116</f>
        <v>3752281.0880163526</v>
      </c>
      <c r="N117" s="89">
        <f t="shared" ref="N117:BU117" ca="1" si="95">N113+N114+N115-N116</f>
        <v>4001060.8955774554</v>
      </c>
      <c r="O117" s="89">
        <f t="shared" ca="1" si="95"/>
        <v>4483236.8150580805</v>
      </c>
      <c r="P117" s="89">
        <f t="shared" ca="1" si="95"/>
        <v>5189957.610020089</v>
      </c>
      <c r="Q117" s="89">
        <f t="shared" ca="1" si="95"/>
        <v>6094008.3686515307</v>
      </c>
      <c r="R117" s="89">
        <f t="shared" ca="1" si="95"/>
        <v>7165376.6697731968</v>
      </c>
      <c r="S117" s="89">
        <f t="shared" ca="1" si="95"/>
        <v>7948136.8282761117</v>
      </c>
      <c r="T117" s="89">
        <f t="shared" ca="1" si="95"/>
        <v>8000259.3281063344</v>
      </c>
      <c r="U117" s="89">
        <f t="shared" ca="1" si="95"/>
        <v>8052723.6382293757</v>
      </c>
      <c r="V117" s="89">
        <f t="shared" ca="1" si="95"/>
        <v>8103823.11135442</v>
      </c>
      <c r="W117" s="89">
        <f t="shared" ca="1" si="95"/>
        <v>8156966.5747638661</v>
      </c>
      <c r="X117" s="89">
        <f t="shared" ca="1" si="95"/>
        <v>8208727.5332874935</v>
      </c>
      <c r="Y117" s="89">
        <f t="shared" ca="1" si="95"/>
        <v>8262558.9416585937</v>
      </c>
      <c r="Z117" s="89">
        <f t="shared" ca="1" si="95"/>
        <v>8316743.3670474645</v>
      </c>
      <c r="AA117" s="89">
        <f t="shared" ca="1" si="95"/>
        <v>8367753.6623425288</v>
      </c>
      <c r="AB117" s="89">
        <f t="shared" ca="1" si="95"/>
        <v>8422627.9364226237</v>
      </c>
      <c r="AC117" s="89">
        <f t="shared" ca="1" si="95"/>
        <v>8495703.2507333979</v>
      </c>
      <c r="AD117" s="89">
        <f t="shared" ca="1" si="95"/>
        <v>8568173.7388308663</v>
      </c>
      <c r="AE117" s="89">
        <f t="shared" ca="1" si="95"/>
        <v>8636429.7734309975</v>
      </c>
      <c r="AF117" s="89">
        <f t="shared" ca="1" si="95"/>
        <v>8686937.4073202051</v>
      </c>
      <c r="AG117" s="89">
        <f t="shared" ca="1" si="95"/>
        <v>8717761.9757816214</v>
      </c>
      <c r="AH117" s="89">
        <f t="shared" ca="1" si="95"/>
        <v>8726924.3824060392</v>
      </c>
      <c r="AI117" s="89">
        <f t="shared" ca="1" si="95"/>
        <v>8717982.6070798561</v>
      </c>
      <c r="AJ117" s="89">
        <f t="shared" ca="1" si="95"/>
        <v>8689989.2708998919</v>
      </c>
      <c r="AK117" s="89">
        <f t="shared" ca="1" si="95"/>
        <v>8646519.5672619678</v>
      </c>
      <c r="AL117" s="89">
        <f t="shared" ca="1" si="95"/>
        <v>8592626.9397312384</v>
      </c>
      <c r="AM117" s="89">
        <f t="shared" ca="1" si="95"/>
        <v>8532911.6577711403</v>
      </c>
      <c r="AN117" s="89">
        <f t="shared" ca="1" si="95"/>
        <v>8478274.0093461405</v>
      </c>
      <c r="AO117" s="89">
        <f t="shared" ca="1" si="95"/>
        <v>8421092.439368017</v>
      </c>
      <c r="AP117" s="89">
        <f t="shared" ca="1" si="95"/>
        <v>8364846.5071294475</v>
      </c>
      <c r="AQ117" s="89">
        <f t="shared" ca="1" si="95"/>
        <v>8305968.0272360817</v>
      </c>
      <c r="AR117" s="89">
        <f t="shared" ca="1" si="95"/>
        <v>8247989.9863132108</v>
      </c>
      <c r="AS117" s="89">
        <f t="shared" ca="1" si="95"/>
        <v>8189143.1640819954</v>
      </c>
      <c r="AT117" s="89">
        <f t="shared" ca="1" si="95"/>
        <v>8127684.0244750259</v>
      </c>
      <c r="AU117" s="89">
        <f t="shared" ca="1" si="95"/>
        <v>8067071.1138847778</v>
      </c>
      <c r="AV117" s="89">
        <f t="shared" ca="1" si="95"/>
        <v>8004348.7808755198</v>
      </c>
      <c r="AW117" s="89">
        <f t="shared" ca="1" si="95"/>
        <v>0</v>
      </c>
      <c r="AX117" s="89">
        <f t="shared" ca="1" si="95"/>
        <v>0</v>
      </c>
      <c r="AY117" s="89">
        <f t="shared" ca="1" si="95"/>
        <v>0</v>
      </c>
      <c r="AZ117" s="89">
        <f t="shared" ca="1" si="95"/>
        <v>0</v>
      </c>
      <c r="BA117" s="89">
        <f t="shared" ca="1" si="95"/>
        <v>0</v>
      </c>
      <c r="BB117" s="89">
        <f t="shared" ca="1" si="95"/>
        <v>0</v>
      </c>
      <c r="BC117" s="89">
        <f t="shared" ca="1" si="95"/>
        <v>0</v>
      </c>
      <c r="BD117" s="89">
        <f t="shared" ca="1" si="95"/>
        <v>0</v>
      </c>
      <c r="BE117" s="89">
        <f t="shared" ca="1" si="95"/>
        <v>0</v>
      </c>
      <c r="BF117" s="89">
        <f t="shared" ca="1" si="95"/>
        <v>0</v>
      </c>
      <c r="BG117" s="89">
        <f t="shared" ca="1" si="95"/>
        <v>0</v>
      </c>
      <c r="BH117" s="89">
        <f t="shared" ca="1" si="95"/>
        <v>0</v>
      </c>
      <c r="BI117" s="89">
        <f t="shared" ca="1" si="95"/>
        <v>0</v>
      </c>
      <c r="BJ117" s="89">
        <f t="shared" ca="1" si="95"/>
        <v>0</v>
      </c>
      <c r="BK117" s="89">
        <f t="shared" ca="1" si="95"/>
        <v>0</v>
      </c>
      <c r="BL117" s="89">
        <f t="shared" ca="1" si="95"/>
        <v>0</v>
      </c>
      <c r="BM117" s="89">
        <f t="shared" ca="1" si="95"/>
        <v>0</v>
      </c>
      <c r="BN117" s="89">
        <f t="shared" ca="1" si="95"/>
        <v>0</v>
      </c>
      <c r="BO117" s="89">
        <f t="shared" ca="1" si="95"/>
        <v>0</v>
      </c>
      <c r="BP117" s="89">
        <f t="shared" ca="1" si="95"/>
        <v>0</v>
      </c>
      <c r="BQ117" s="89">
        <f t="shared" ca="1" si="95"/>
        <v>0</v>
      </c>
      <c r="BR117" s="89">
        <f t="shared" ca="1" si="95"/>
        <v>0</v>
      </c>
      <c r="BS117" s="89">
        <f t="shared" ca="1" si="95"/>
        <v>0</v>
      </c>
      <c r="BT117" s="89">
        <f t="shared" ca="1" si="95"/>
        <v>0</v>
      </c>
      <c r="BU117" s="89">
        <f t="shared" ca="1" si="95"/>
        <v>0</v>
      </c>
    </row>
    <row r="118" spans="2:73">
      <c r="K118" s="113" t="s">
        <v>258</v>
      </c>
      <c r="L118" s="3">
        <f ca="1">XIRR(M118:BU118,M4:BU4)</f>
        <v>7.9999998211860726E-2</v>
      </c>
      <c r="M118" s="89">
        <f ca="1">-M114+M116</f>
        <v>-3752281.0880163526</v>
      </c>
      <c r="N118" s="89">
        <f t="shared" ref="N118:BU118" ca="1" si="96">-N114+N116</f>
        <v>-224173.00037801103</v>
      </c>
      <c r="O118" s="89">
        <f t="shared" ca="1" si="96"/>
        <v>-458484.34628289368</v>
      </c>
      <c r="P118" s="89">
        <f t="shared" ca="1" si="96"/>
        <v>-677320.50717000838</v>
      </c>
      <c r="Q118" s="89">
        <f t="shared" ca="1" si="96"/>
        <v>-871117.29271618498</v>
      </c>
      <c r="R118" s="89">
        <f t="shared" ca="1" si="96"/>
        <v>-1031404.8534529012</v>
      </c>
      <c r="S118" s="89">
        <f t="shared" ca="1" si="96"/>
        <v>-737291.44641392492</v>
      </c>
      <c r="T118" s="89">
        <f t="shared" ca="1" si="96"/>
        <v>0</v>
      </c>
      <c r="U118" s="89">
        <f t="shared" ca="1" si="96"/>
        <v>0</v>
      </c>
      <c r="V118" s="89">
        <f t="shared" ca="1" si="96"/>
        <v>0</v>
      </c>
      <c r="W118" s="89">
        <f t="shared" ca="1" si="96"/>
        <v>0</v>
      </c>
      <c r="X118" s="89">
        <f t="shared" ca="1" si="96"/>
        <v>0</v>
      </c>
      <c r="Y118" s="89">
        <f t="shared" ca="1" si="96"/>
        <v>0</v>
      </c>
      <c r="Z118" s="89">
        <f t="shared" ca="1" si="96"/>
        <v>0</v>
      </c>
      <c r="AA118" s="89">
        <f t="shared" ca="1" si="96"/>
        <v>0</v>
      </c>
      <c r="AB118" s="89">
        <f t="shared" ca="1" si="96"/>
        <v>0</v>
      </c>
      <c r="AC118" s="89">
        <f t="shared" ca="1" si="96"/>
        <v>-19628.571428571431</v>
      </c>
      <c r="AD118" s="89">
        <f t="shared" ca="1" si="96"/>
        <v>-16757.142857142859</v>
      </c>
      <c r="AE118" s="89">
        <f t="shared" ca="1" si="96"/>
        <v>-13885.714285714288</v>
      </c>
      <c r="AF118" s="89">
        <f t="shared" ca="1" si="96"/>
        <v>6128.5714285714284</v>
      </c>
      <c r="AG118" s="89">
        <f t="shared" ca="1" si="96"/>
        <v>26142.857142857145</v>
      </c>
      <c r="AH118" s="89">
        <f t="shared" ca="1" si="96"/>
        <v>46157.142857142862</v>
      </c>
      <c r="AI118" s="89">
        <f t="shared" ca="1" si="96"/>
        <v>66171.42857142858</v>
      </c>
      <c r="AJ118" s="89">
        <f t="shared" ca="1" si="96"/>
        <v>83314.285714285725</v>
      </c>
      <c r="AK118" s="89">
        <f t="shared" ca="1" si="96"/>
        <v>100457.14285714287</v>
      </c>
      <c r="AL118" s="89">
        <f t="shared" ca="1" si="96"/>
        <v>110595.00000000001</v>
      </c>
      <c r="AM118" s="89">
        <f t="shared" ca="1" si="96"/>
        <v>110595.00000000001</v>
      </c>
      <c r="AN118" s="89">
        <f t="shared" ca="1" si="96"/>
        <v>110595.00000000001</v>
      </c>
      <c r="AO118" s="89">
        <f t="shared" ca="1" si="96"/>
        <v>110981.42142857146</v>
      </c>
      <c r="AP118" s="89">
        <f t="shared" ca="1" si="96"/>
        <v>111469.9928571429</v>
      </c>
      <c r="AQ118" s="89">
        <f t="shared" ca="1" si="96"/>
        <v>111958.56428571431</v>
      </c>
      <c r="AR118" s="89">
        <f t="shared" ca="1" si="96"/>
        <v>112447.13571428573</v>
      </c>
      <c r="AS118" s="89">
        <f t="shared" ca="1" si="96"/>
        <v>112935.70714285718</v>
      </c>
      <c r="AT118" s="89">
        <f t="shared" ca="1" si="96"/>
        <v>113424.2785714286</v>
      </c>
      <c r="AU118" s="89">
        <f t="shared" ca="1" si="96"/>
        <v>113912.85</v>
      </c>
      <c r="AV118" s="89">
        <f t="shared" ca="1" si="96"/>
        <v>113912.85</v>
      </c>
      <c r="AW118" s="89">
        <f t="shared" ca="1" si="96"/>
        <v>8056839.9093019962</v>
      </c>
      <c r="AX118" s="89">
        <f t="shared" ca="1" si="96"/>
        <v>0</v>
      </c>
      <c r="AY118" s="89">
        <f t="shared" ca="1" si="96"/>
        <v>0</v>
      </c>
      <c r="AZ118" s="89">
        <f t="shared" ca="1" si="96"/>
        <v>0</v>
      </c>
      <c r="BA118" s="89">
        <f t="shared" ca="1" si="96"/>
        <v>0</v>
      </c>
      <c r="BB118" s="89">
        <f t="shared" ca="1" si="96"/>
        <v>0</v>
      </c>
      <c r="BC118" s="89">
        <f t="shared" ca="1" si="96"/>
        <v>0</v>
      </c>
      <c r="BD118" s="89">
        <f t="shared" ca="1" si="96"/>
        <v>0</v>
      </c>
      <c r="BE118" s="89">
        <f t="shared" ca="1" si="96"/>
        <v>0</v>
      </c>
      <c r="BF118" s="89">
        <f t="shared" ca="1" si="96"/>
        <v>0</v>
      </c>
      <c r="BG118" s="89">
        <f t="shared" ca="1" si="96"/>
        <v>0</v>
      </c>
      <c r="BH118" s="89">
        <f t="shared" ca="1" si="96"/>
        <v>0</v>
      </c>
      <c r="BI118" s="89">
        <f t="shared" ca="1" si="96"/>
        <v>0</v>
      </c>
      <c r="BJ118" s="89">
        <f t="shared" ca="1" si="96"/>
        <v>0</v>
      </c>
      <c r="BK118" s="89">
        <f t="shared" ca="1" si="96"/>
        <v>0</v>
      </c>
      <c r="BL118" s="89">
        <f t="shared" ca="1" si="96"/>
        <v>0</v>
      </c>
      <c r="BM118" s="89">
        <f t="shared" ca="1" si="96"/>
        <v>0</v>
      </c>
      <c r="BN118" s="89">
        <f t="shared" ca="1" si="96"/>
        <v>0</v>
      </c>
      <c r="BO118" s="89">
        <f t="shared" ca="1" si="96"/>
        <v>0</v>
      </c>
      <c r="BP118" s="89">
        <f t="shared" ca="1" si="96"/>
        <v>0</v>
      </c>
      <c r="BQ118" s="89">
        <f t="shared" ca="1" si="96"/>
        <v>0</v>
      </c>
      <c r="BR118" s="89">
        <f t="shared" ca="1" si="96"/>
        <v>0</v>
      </c>
      <c r="BS118" s="89">
        <f t="shared" ca="1" si="96"/>
        <v>0</v>
      </c>
      <c r="BT118" s="89">
        <f t="shared" ca="1" si="96"/>
        <v>0</v>
      </c>
      <c r="BU118" s="89">
        <f t="shared" ca="1" si="96"/>
        <v>0</v>
      </c>
    </row>
    <row r="119" spans="2:73">
      <c r="K119" s="113"/>
    </row>
    <row r="120" spans="2:73">
      <c r="K120" s="113" t="s">
        <v>259</v>
      </c>
      <c r="M120" s="89">
        <f ca="1">M114/$D$111*$E$111</f>
        <v>416920.12089070585</v>
      </c>
      <c r="N120" s="89">
        <f t="shared" ref="N120:BU120" ca="1" si="97">N114/$D$111*$E$111</f>
        <v>24908.111153112335</v>
      </c>
      <c r="O120" s="89">
        <f t="shared" ca="1" si="97"/>
        <v>50942.705142543738</v>
      </c>
      <c r="P120" s="89">
        <f t="shared" ca="1" si="97"/>
        <v>75257.834130000934</v>
      </c>
      <c r="Q120" s="89">
        <f t="shared" ca="1" si="97"/>
        <v>96790.810301798338</v>
      </c>
      <c r="R120" s="89">
        <f t="shared" ca="1" si="97"/>
        <v>114600.53927254459</v>
      </c>
      <c r="S120" s="89">
        <f t="shared" ca="1" si="97"/>
        <v>81921.271823769435</v>
      </c>
      <c r="T120" s="89">
        <f t="shared" ca="1" si="97"/>
        <v>0</v>
      </c>
      <c r="U120" s="89">
        <f t="shared" ca="1" si="97"/>
        <v>0</v>
      </c>
      <c r="V120" s="89">
        <f t="shared" ca="1" si="97"/>
        <v>0</v>
      </c>
      <c r="W120" s="89">
        <f t="shared" ca="1" si="97"/>
        <v>0</v>
      </c>
      <c r="X120" s="89">
        <f t="shared" ca="1" si="97"/>
        <v>0</v>
      </c>
      <c r="Y120" s="89">
        <f t="shared" ca="1" si="97"/>
        <v>0</v>
      </c>
      <c r="Z120" s="89">
        <f t="shared" ca="1" si="97"/>
        <v>0</v>
      </c>
      <c r="AA120" s="89">
        <f t="shared" ca="1" si="97"/>
        <v>0</v>
      </c>
      <c r="AB120" s="89">
        <f t="shared" ca="1" si="97"/>
        <v>0</v>
      </c>
      <c r="AC120" s="89">
        <f t="shared" ca="1" si="97"/>
        <v>2180.9523809523812</v>
      </c>
      <c r="AD120" s="89">
        <f t="shared" ca="1" si="97"/>
        <v>1861.9047619047624</v>
      </c>
      <c r="AE120" s="89">
        <f t="shared" ca="1" si="97"/>
        <v>1542.8571428571431</v>
      </c>
      <c r="AF120" s="89">
        <f t="shared" ca="1" si="97"/>
        <v>0</v>
      </c>
      <c r="AG120" s="89">
        <f t="shared" ca="1" si="97"/>
        <v>0</v>
      </c>
      <c r="AH120" s="89">
        <f t="shared" ca="1" si="97"/>
        <v>0</v>
      </c>
      <c r="AI120" s="89">
        <f t="shared" ca="1" si="97"/>
        <v>0</v>
      </c>
      <c r="AJ120" s="89">
        <f t="shared" ca="1" si="97"/>
        <v>0</v>
      </c>
      <c r="AK120" s="89">
        <f t="shared" ca="1" si="97"/>
        <v>0</v>
      </c>
      <c r="AL120" s="89">
        <f t="shared" ca="1" si="97"/>
        <v>0</v>
      </c>
      <c r="AM120" s="89">
        <f t="shared" ca="1" si="97"/>
        <v>0</v>
      </c>
      <c r="AN120" s="89">
        <f t="shared" ca="1" si="97"/>
        <v>0</v>
      </c>
      <c r="AO120" s="89">
        <f t="shared" ca="1" si="97"/>
        <v>0</v>
      </c>
      <c r="AP120" s="89">
        <f t="shared" ca="1" si="97"/>
        <v>0</v>
      </c>
      <c r="AQ120" s="89">
        <f t="shared" ca="1" si="97"/>
        <v>0</v>
      </c>
      <c r="AR120" s="89">
        <f t="shared" ca="1" si="97"/>
        <v>0</v>
      </c>
      <c r="AS120" s="89">
        <f t="shared" ca="1" si="97"/>
        <v>0</v>
      </c>
      <c r="AT120" s="89">
        <f t="shared" ca="1" si="97"/>
        <v>0</v>
      </c>
      <c r="AU120" s="89">
        <f t="shared" ca="1" si="97"/>
        <v>0</v>
      </c>
      <c r="AV120" s="89">
        <f t="shared" ca="1" si="97"/>
        <v>0</v>
      </c>
      <c r="AW120" s="89">
        <f t="shared" ca="1" si="97"/>
        <v>0</v>
      </c>
      <c r="AX120" s="89">
        <f t="shared" ca="1" si="97"/>
        <v>0</v>
      </c>
      <c r="AY120" s="89">
        <f t="shared" ca="1" si="97"/>
        <v>0</v>
      </c>
      <c r="AZ120" s="89">
        <f t="shared" ca="1" si="97"/>
        <v>0</v>
      </c>
      <c r="BA120" s="89">
        <f t="shared" ca="1" si="97"/>
        <v>0</v>
      </c>
      <c r="BB120" s="89">
        <f t="shared" ca="1" si="97"/>
        <v>0</v>
      </c>
      <c r="BC120" s="89">
        <f t="shared" ca="1" si="97"/>
        <v>0</v>
      </c>
      <c r="BD120" s="89">
        <f t="shared" ca="1" si="97"/>
        <v>0</v>
      </c>
      <c r="BE120" s="89">
        <f t="shared" ca="1" si="97"/>
        <v>0</v>
      </c>
      <c r="BF120" s="89">
        <f t="shared" ca="1" si="97"/>
        <v>0</v>
      </c>
      <c r="BG120" s="89">
        <f t="shared" ca="1" si="97"/>
        <v>0</v>
      </c>
      <c r="BH120" s="89">
        <f t="shared" ca="1" si="97"/>
        <v>0</v>
      </c>
      <c r="BI120" s="89">
        <f t="shared" ca="1" si="97"/>
        <v>0</v>
      </c>
      <c r="BJ120" s="89">
        <f t="shared" ca="1" si="97"/>
        <v>0</v>
      </c>
      <c r="BK120" s="89">
        <f t="shared" ca="1" si="97"/>
        <v>0</v>
      </c>
      <c r="BL120" s="89">
        <f t="shared" ca="1" si="97"/>
        <v>0</v>
      </c>
      <c r="BM120" s="89">
        <f t="shared" ca="1" si="97"/>
        <v>0</v>
      </c>
      <c r="BN120" s="89">
        <f t="shared" ca="1" si="97"/>
        <v>0</v>
      </c>
      <c r="BO120" s="89">
        <f t="shared" ca="1" si="97"/>
        <v>0</v>
      </c>
      <c r="BP120" s="89">
        <f t="shared" ca="1" si="97"/>
        <v>0</v>
      </c>
      <c r="BQ120" s="89">
        <f t="shared" ca="1" si="97"/>
        <v>0</v>
      </c>
      <c r="BR120" s="89">
        <f t="shared" ca="1" si="97"/>
        <v>0</v>
      </c>
      <c r="BS120" s="89">
        <f t="shared" ca="1" si="97"/>
        <v>0</v>
      </c>
      <c r="BT120" s="89">
        <f t="shared" ca="1" si="97"/>
        <v>0</v>
      </c>
      <c r="BU120" s="89">
        <f t="shared" ca="1" si="97"/>
        <v>0</v>
      </c>
    </row>
    <row r="121" spans="2:73">
      <c r="K121" s="113" t="s">
        <v>260</v>
      </c>
      <c r="M121" s="89">
        <f ca="1">M116/$D$111*$E$111</f>
        <v>0</v>
      </c>
      <c r="N121" s="89">
        <f t="shared" ref="N121:BU121" ca="1" si="98">N116/$D$111*$E$111</f>
        <v>0</v>
      </c>
      <c r="O121" s="89">
        <f t="shared" ca="1" si="98"/>
        <v>0</v>
      </c>
      <c r="P121" s="89">
        <f t="shared" ca="1" si="98"/>
        <v>0</v>
      </c>
      <c r="Q121" s="89">
        <f t="shared" ca="1" si="98"/>
        <v>0</v>
      </c>
      <c r="R121" s="89">
        <f t="shared" ca="1" si="98"/>
        <v>0</v>
      </c>
      <c r="S121" s="89">
        <f t="shared" ca="1" si="98"/>
        <v>0</v>
      </c>
      <c r="T121" s="89">
        <f t="shared" ca="1" si="98"/>
        <v>0</v>
      </c>
      <c r="U121" s="89">
        <f t="shared" ca="1" si="98"/>
        <v>0</v>
      </c>
      <c r="V121" s="89">
        <f t="shared" ca="1" si="98"/>
        <v>0</v>
      </c>
      <c r="W121" s="89">
        <f t="shared" ca="1" si="98"/>
        <v>0</v>
      </c>
      <c r="X121" s="89">
        <f t="shared" ca="1" si="98"/>
        <v>0</v>
      </c>
      <c r="Y121" s="89">
        <f t="shared" ca="1" si="98"/>
        <v>0</v>
      </c>
      <c r="Z121" s="89">
        <f t="shared" ca="1" si="98"/>
        <v>0</v>
      </c>
      <c r="AA121" s="89">
        <f t="shared" ca="1" si="98"/>
        <v>0</v>
      </c>
      <c r="AB121" s="89">
        <f t="shared" ca="1" si="98"/>
        <v>0</v>
      </c>
      <c r="AC121" s="89">
        <f t="shared" ca="1" si="98"/>
        <v>0</v>
      </c>
      <c r="AD121" s="89">
        <f t="shared" ca="1" si="98"/>
        <v>0</v>
      </c>
      <c r="AE121" s="89">
        <f t="shared" ca="1" si="98"/>
        <v>0</v>
      </c>
      <c r="AF121" s="89">
        <f t="shared" ca="1" si="98"/>
        <v>680.95238095238096</v>
      </c>
      <c r="AG121" s="89">
        <f t="shared" ca="1" si="98"/>
        <v>2904.761904761905</v>
      </c>
      <c r="AH121" s="89">
        <f t="shared" ca="1" si="98"/>
        <v>5128.5714285714294</v>
      </c>
      <c r="AI121" s="89">
        <f t="shared" ca="1" si="98"/>
        <v>7352.3809523809532</v>
      </c>
      <c r="AJ121" s="89">
        <f t="shared" ca="1" si="98"/>
        <v>9257.1428571428587</v>
      </c>
      <c r="AK121" s="89">
        <f t="shared" ca="1" si="98"/>
        <v>11161.904761904763</v>
      </c>
      <c r="AL121" s="89">
        <f t="shared" ca="1" si="98"/>
        <v>12288.333333333336</v>
      </c>
      <c r="AM121" s="89">
        <f t="shared" ca="1" si="98"/>
        <v>12288.333333333336</v>
      </c>
      <c r="AN121" s="89">
        <f t="shared" ca="1" si="98"/>
        <v>12288.333333333336</v>
      </c>
      <c r="AO121" s="89">
        <f t="shared" ca="1" si="98"/>
        <v>12331.269047619051</v>
      </c>
      <c r="AP121" s="89">
        <f t="shared" ca="1" si="98"/>
        <v>12385.554761904767</v>
      </c>
      <c r="AQ121" s="89">
        <f t="shared" ca="1" si="98"/>
        <v>12439.84047619048</v>
      </c>
      <c r="AR121" s="89">
        <f t="shared" ca="1" si="98"/>
        <v>12494.126190476192</v>
      </c>
      <c r="AS121" s="89">
        <f t="shared" ca="1" si="98"/>
        <v>12548.41190476191</v>
      </c>
      <c r="AT121" s="89">
        <f t="shared" ca="1" si="98"/>
        <v>12602.697619047622</v>
      </c>
      <c r="AU121" s="89">
        <f t="shared" ca="1" si="98"/>
        <v>12656.983333333335</v>
      </c>
      <c r="AV121" s="89">
        <f t="shared" ca="1" si="98"/>
        <v>12656.983333333335</v>
      </c>
      <c r="AW121" s="89">
        <f t="shared" ca="1" si="98"/>
        <v>895204.43436688837</v>
      </c>
      <c r="AX121" s="89">
        <f t="shared" ca="1" si="98"/>
        <v>0</v>
      </c>
      <c r="AY121" s="89">
        <f t="shared" ca="1" si="98"/>
        <v>0</v>
      </c>
      <c r="AZ121" s="89">
        <f t="shared" ca="1" si="98"/>
        <v>0</v>
      </c>
      <c r="BA121" s="89">
        <f t="shared" ca="1" si="98"/>
        <v>0</v>
      </c>
      <c r="BB121" s="89">
        <f t="shared" ca="1" si="98"/>
        <v>0</v>
      </c>
      <c r="BC121" s="89">
        <f t="shared" ca="1" si="98"/>
        <v>0</v>
      </c>
      <c r="BD121" s="89">
        <f t="shared" ca="1" si="98"/>
        <v>0</v>
      </c>
      <c r="BE121" s="89">
        <f t="shared" ca="1" si="98"/>
        <v>0</v>
      </c>
      <c r="BF121" s="89">
        <f t="shared" ca="1" si="98"/>
        <v>0</v>
      </c>
      <c r="BG121" s="89">
        <f t="shared" ca="1" si="98"/>
        <v>0</v>
      </c>
      <c r="BH121" s="89">
        <f t="shared" ca="1" si="98"/>
        <v>0</v>
      </c>
      <c r="BI121" s="89">
        <f t="shared" ca="1" si="98"/>
        <v>0</v>
      </c>
      <c r="BJ121" s="89">
        <f t="shared" ca="1" si="98"/>
        <v>0</v>
      </c>
      <c r="BK121" s="89">
        <f t="shared" ca="1" si="98"/>
        <v>0</v>
      </c>
      <c r="BL121" s="89">
        <f t="shared" ca="1" si="98"/>
        <v>0</v>
      </c>
      <c r="BM121" s="89">
        <f t="shared" ca="1" si="98"/>
        <v>0</v>
      </c>
      <c r="BN121" s="89">
        <f t="shared" ca="1" si="98"/>
        <v>0</v>
      </c>
      <c r="BO121" s="89">
        <f t="shared" ca="1" si="98"/>
        <v>0</v>
      </c>
      <c r="BP121" s="89">
        <f t="shared" ca="1" si="98"/>
        <v>0</v>
      </c>
      <c r="BQ121" s="89">
        <f t="shared" ca="1" si="98"/>
        <v>0</v>
      </c>
      <c r="BR121" s="89">
        <f t="shared" ca="1" si="98"/>
        <v>0</v>
      </c>
      <c r="BS121" s="89">
        <f t="shared" ca="1" si="98"/>
        <v>0</v>
      </c>
      <c r="BT121" s="89">
        <f t="shared" ca="1" si="98"/>
        <v>0</v>
      </c>
      <c r="BU121" s="89">
        <f t="shared" ca="1" si="98"/>
        <v>0</v>
      </c>
    </row>
    <row r="122" spans="2:73">
      <c r="K122" s="113" t="s">
        <v>261</v>
      </c>
      <c r="L122" s="3">
        <f ca="1">XIRR(M122:BU122,M4:BU4)</f>
        <v>7.9999998211860726E-2</v>
      </c>
      <c r="M122" s="89">
        <f ca="1">-M120+M121</f>
        <v>-416920.12089070585</v>
      </c>
      <c r="N122" s="89">
        <f t="shared" ref="N122:BU122" ca="1" si="99">-N120+N121</f>
        <v>-24908.111153112335</v>
      </c>
      <c r="O122" s="89">
        <f t="shared" ca="1" si="99"/>
        <v>-50942.705142543738</v>
      </c>
      <c r="P122" s="89">
        <f t="shared" ca="1" si="99"/>
        <v>-75257.834130000934</v>
      </c>
      <c r="Q122" s="89">
        <f t="shared" ca="1" si="99"/>
        <v>-96790.810301798338</v>
      </c>
      <c r="R122" s="89">
        <f t="shared" ca="1" si="99"/>
        <v>-114600.53927254459</v>
      </c>
      <c r="S122" s="89">
        <f t="shared" ca="1" si="99"/>
        <v>-81921.271823769435</v>
      </c>
      <c r="T122" s="89">
        <f t="shared" ca="1" si="99"/>
        <v>0</v>
      </c>
      <c r="U122" s="89">
        <f t="shared" ca="1" si="99"/>
        <v>0</v>
      </c>
      <c r="V122" s="89">
        <f t="shared" ca="1" si="99"/>
        <v>0</v>
      </c>
      <c r="W122" s="89">
        <f t="shared" ca="1" si="99"/>
        <v>0</v>
      </c>
      <c r="X122" s="89">
        <f t="shared" ca="1" si="99"/>
        <v>0</v>
      </c>
      <c r="Y122" s="89">
        <f t="shared" ca="1" si="99"/>
        <v>0</v>
      </c>
      <c r="Z122" s="89">
        <f t="shared" ca="1" si="99"/>
        <v>0</v>
      </c>
      <c r="AA122" s="89">
        <f t="shared" ca="1" si="99"/>
        <v>0</v>
      </c>
      <c r="AB122" s="89">
        <f t="shared" ca="1" si="99"/>
        <v>0</v>
      </c>
      <c r="AC122" s="89">
        <f t="shared" ca="1" si="99"/>
        <v>-2180.9523809523812</v>
      </c>
      <c r="AD122" s="89">
        <f t="shared" ca="1" si="99"/>
        <v>-1861.9047619047624</v>
      </c>
      <c r="AE122" s="89">
        <f t="shared" ca="1" si="99"/>
        <v>-1542.8571428571431</v>
      </c>
      <c r="AF122" s="89">
        <f t="shared" ca="1" si="99"/>
        <v>680.95238095238096</v>
      </c>
      <c r="AG122" s="89">
        <f t="shared" ca="1" si="99"/>
        <v>2904.761904761905</v>
      </c>
      <c r="AH122" s="89">
        <f t="shared" ca="1" si="99"/>
        <v>5128.5714285714294</v>
      </c>
      <c r="AI122" s="89">
        <f t="shared" ca="1" si="99"/>
        <v>7352.3809523809532</v>
      </c>
      <c r="AJ122" s="89">
        <f t="shared" ca="1" si="99"/>
        <v>9257.1428571428587</v>
      </c>
      <c r="AK122" s="89">
        <f t="shared" ca="1" si="99"/>
        <v>11161.904761904763</v>
      </c>
      <c r="AL122" s="89">
        <f t="shared" ca="1" si="99"/>
        <v>12288.333333333336</v>
      </c>
      <c r="AM122" s="89">
        <f t="shared" ca="1" si="99"/>
        <v>12288.333333333336</v>
      </c>
      <c r="AN122" s="89">
        <f t="shared" ca="1" si="99"/>
        <v>12288.333333333336</v>
      </c>
      <c r="AO122" s="89">
        <f t="shared" ca="1" si="99"/>
        <v>12331.269047619051</v>
      </c>
      <c r="AP122" s="89">
        <f t="shared" ca="1" si="99"/>
        <v>12385.554761904767</v>
      </c>
      <c r="AQ122" s="89">
        <f t="shared" ca="1" si="99"/>
        <v>12439.84047619048</v>
      </c>
      <c r="AR122" s="89">
        <f t="shared" ca="1" si="99"/>
        <v>12494.126190476192</v>
      </c>
      <c r="AS122" s="89">
        <f t="shared" ca="1" si="99"/>
        <v>12548.41190476191</v>
      </c>
      <c r="AT122" s="89">
        <f t="shared" ca="1" si="99"/>
        <v>12602.697619047622</v>
      </c>
      <c r="AU122" s="89">
        <f t="shared" ca="1" si="99"/>
        <v>12656.983333333335</v>
      </c>
      <c r="AV122" s="89">
        <f t="shared" ca="1" si="99"/>
        <v>12656.983333333335</v>
      </c>
      <c r="AW122" s="89">
        <f t="shared" ca="1" si="99"/>
        <v>895204.43436688837</v>
      </c>
      <c r="AX122" s="89">
        <f t="shared" ca="1" si="99"/>
        <v>0</v>
      </c>
      <c r="AY122" s="89">
        <f t="shared" ca="1" si="99"/>
        <v>0</v>
      </c>
      <c r="AZ122" s="89">
        <f t="shared" ca="1" si="99"/>
        <v>0</v>
      </c>
      <c r="BA122" s="89">
        <f t="shared" ca="1" si="99"/>
        <v>0</v>
      </c>
      <c r="BB122" s="89">
        <f t="shared" ca="1" si="99"/>
        <v>0</v>
      </c>
      <c r="BC122" s="89">
        <f t="shared" ca="1" si="99"/>
        <v>0</v>
      </c>
      <c r="BD122" s="89">
        <f t="shared" ca="1" si="99"/>
        <v>0</v>
      </c>
      <c r="BE122" s="89">
        <f t="shared" ca="1" si="99"/>
        <v>0</v>
      </c>
      <c r="BF122" s="89">
        <f t="shared" ca="1" si="99"/>
        <v>0</v>
      </c>
      <c r="BG122" s="89">
        <f t="shared" ca="1" si="99"/>
        <v>0</v>
      </c>
      <c r="BH122" s="89">
        <f t="shared" ca="1" si="99"/>
        <v>0</v>
      </c>
      <c r="BI122" s="89">
        <f t="shared" ca="1" si="99"/>
        <v>0</v>
      </c>
      <c r="BJ122" s="89">
        <f t="shared" ca="1" si="99"/>
        <v>0</v>
      </c>
      <c r="BK122" s="89">
        <f t="shared" ca="1" si="99"/>
        <v>0</v>
      </c>
      <c r="BL122" s="89">
        <f t="shared" ca="1" si="99"/>
        <v>0</v>
      </c>
      <c r="BM122" s="89">
        <f t="shared" ca="1" si="99"/>
        <v>0</v>
      </c>
      <c r="BN122" s="89">
        <f t="shared" ca="1" si="99"/>
        <v>0</v>
      </c>
      <c r="BO122" s="89">
        <f t="shared" ca="1" si="99"/>
        <v>0</v>
      </c>
      <c r="BP122" s="89">
        <f t="shared" ca="1" si="99"/>
        <v>0</v>
      </c>
      <c r="BQ122" s="89">
        <f t="shared" ca="1" si="99"/>
        <v>0</v>
      </c>
      <c r="BR122" s="89">
        <f t="shared" ca="1" si="99"/>
        <v>0</v>
      </c>
      <c r="BS122" s="89">
        <f t="shared" ca="1" si="99"/>
        <v>0</v>
      </c>
      <c r="BT122" s="89">
        <f t="shared" ca="1" si="99"/>
        <v>0</v>
      </c>
      <c r="BU122" s="89">
        <f t="shared" ca="1" si="99"/>
        <v>0</v>
      </c>
    </row>
    <row r="123" spans="2:73">
      <c r="K123" s="113"/>
    </row>
    <row r="124" spans="2:73">
      <c r="K124" s="113" t="s">
        <v>262</v>
      </c>
      <c r="M124" s="89">
        <f ca="1">M109-M116-M121</f>
        <v>0</v>
      </c>
      <c r="N124" s="89">
        <f t="shared" ref="N124:BU124" ca="1" si="100">N109-N116-N121</f>
        <v>0</v>
      </c>
      <c r="O124" s="89">
        <f t="shared" ca="1" si="100"/>
        <v>0</v>
      </c>
      <c r="P124" s="89">
        <f t="shared" ca="1" si="100"/>
        <v>0</v>
      </c>
      <c r="Q124" s="89">
        <f t="shared" ca="1" si="100"/>
        <v>0</v>
      </c>
      <c r="R124" s="89">
        <f t="shared" ca="1" si="100"/>
        <v>0</v>
      </c>
      <c r="S124" s="89">
        <f t="shared" ca="1" si="100"/>
        <v>0</v>
      </c>
      <c r="T124" s="89">
        <f t="shared" ca="1" si="100"/>
        <v>0</v>
      </c>
      <c r="U124" s="89">
        <f t="shared" ca="1" si="100"/>
        <v>0</v>
      </c>
      <c r="V124" s="89">
        <f t="shared" ca="1" si="100"/>
        <v>0</v>
      </c>
      <c r="W124" s="89">
        <f t="shared" ca="1" si="100"/>
        <v>0</v>
      </c>
      <c r="X124" s="89">
        <f t="shared" ca="1" si="100"/>
        <v>0</v>
      </c>
      <c r="Y124" s="89">
        <f t="shared" ca="1" si="100"/>
        <v>0</v>
      </c>
      <c r="Z124" s="89">
        <f t="shared" ca="1" si="100"/>
        <v>0</v>
      </c>
      <c r="AA124" s="89">
        <f t="shared" ca="1" si="100"/>
        <v>0</v>
      </c>
      <c r="AB124" s="89">
        <f t="shared" ca="1" si="100"/>
        <v>0</v>
      </c>
      <c r="AC124" s="89">
        <f t="shared" ca="1" si="100"/>
        <v>0</v>
      </c>
      <c r="AD124" s="89">
        <f t="shared" ca="1" si="100"/>
        <v>0</v>
      </c>
      <c r="AE124" s="89">
        <f t="shared" ca="1" si="100"/>
        <v>0</v>
      </c>
      <c r="AF124" s="89">
        <f t="shared" ca="1" si="100"/>
        <v>0</v>
      </c>
      <c r="AG124" s="89">
        <f t="shared" ca="1" si="100"/>
        <v>0</v>
      </c>
      <c r="AH124" s="89">
        <f t="shared" ca="1" si="100"/>
        <v>0</v>
      </c>
      <c r="AI124" s="89">
        <f t="shared" ca="1" si="100"/>
        <v>0</v>
      </c>
      <c r="AJ124" s="89">
        <f t="shared" ca="1" si="100"/>
        <v>0</v>
      </c>
      <c r="AK124" s="89">
        <f t="shared" ca="1" si="100"/>
        <v>0</v>
      </c>
      <c r="AL124" s="89">
        <f t="shared" ca="1" si="100"/>
        <v>0</v>
      </c>
      <c r="AM124" s="89">
        <f t="shared" ca="1" si="100"/>
        <v>0</v>
      </c>
      <c r="AN124" s="89">
        <f t="shared" ca="1" si="100"/>
        <v>0</v>
      </c>
      <c r="AO124" s="89">
        <f t="shared" ca="1" si="100"/>
        <v>0</v>
      </c>
      <c r="AP124" s="89">
        <f t="shared" ca="1" si="100"/>
        <v>0</v>
      </c>
      <c r="AQ124" s="89">
        <f t="shared" ca="1" si="100"/>
        <v>0</v>
      </c>
      <c r="AR124" s="89">
        <f t="shared" ca="1" si="100"/>
        <v>0</v>
      </c>
      <c r="AS124" s="89">
        <f t="shared" ca="1" si="100"/>
        <v>0</v>
      </c>
      <c r="AT124" s="89">
        <f t="shared" ca="1" si="100"/>
        <v>0</v>
      </c>
      <c r="AU124" s="89">
        <f t="shared" ca="1" si="100"/>
        <v>0</v>
      </c>
      <c r="AV124" s="89">
        <f t="shared" ca="1" si="100"/>
        <v>0</v>
      </c>
      <c r="AW124" s="89">
        <f t="shared" ca="1" si="100"/>
        <v>4873523.4802516671</v>
      </c>
      <c r="AX124" s="89">
        <f t="shared" ca="1" si="100"/>
        <v>0</v>
      </c>
      <c r="AY124" s="89">
        <f t="shared" ca="1" si="100"/>
        <v>0</v>
      </c>
      <c r="AZ124" s="89">
        <f t="shared" ca="1" si="100"/>
        <v>0</v>
      </c>
      <c r="BA124" s="89">
        <f t="shared" ca="1" si="100"/>
        <v>0</v>
      </c>
      <c r="BB124" s="89">
        <f t="shared" ca="1" si="100"/>
        <v>0</v>
      </c>
      <c r="BC124" s="89">
        <f t="shared" ca="1" si="100"/>
        <v>0</v>
      </c>
      <c r="BD124" s="89">
        <f t="shared" ca="1" si="100"/>
        <v>0</v>
      </c>
      <c r="BE124" s="89">
        <f t="shared" ca="1" si="100"/>
        <v>0</v>
      </c>
      <c r="BF124" s="89">
        <f t="shared" ca="1" si="100"/>
        <v>0</v>
      </c>
      <c r="BG124" s="89">
        <f t="shared" ca="1" si="100"/>
        <v>0</v>
      </c>
      <c r="BH124" s="89">
        <f t="shared" ca="1" si="100"/>
        <v>0</v>
      </c>
      <c r="BI124" s="89">
        <f t="shared" ca="1" si="100"/>
        <v>0</v>
      </c>
      <c r="BJ124" s="89">
        <f t="shared" ca="1" si="100"/>
        <v>0</v>
      </c>
      <c r="BK124" s="89">
        <f t="shared" ca="1" si="100"/>
        <v>0</v>
      </c>
      <c r="BL124" s="89">
        <f t="shared" ca="1" si="100"/>
        <v>0</v>
      </c>
      <c r="BM124" s="89">
        <f t="shared" ca="1" si="100"/>
        <v>0</v>
      </c>
      <c r="BN124" s="89">
        <f t="shared" ca="1" si="100"/>
        <v>0</v>
      </c>
      <c r="BO124" s="89">
        <f t="shared" ca="1" si="100"/>
        <v>0</v>
      </c>
      <c r="BP124" s="89">
        <f t="shared" ca="1" si="100"/>
        <v>0</v>
      </c>
      <c r="BQ124" s="89">
        <f t="shared" ca="1" si="100"/>
        <v>0</v>
      </c>
      <c r="BR124" s="89">
        <f t="shared" ca="1" si="100"/>
        <v>0</v>
      </c>
      <c r="BS124" s="89">
        <f t="shared" ca="1" si="100"/>
        <v>0</v>
      </c>
      <c r="BT124" s="89">
        <f t="shared" ca="1" si="100"/>
        <v>0</v>
      </c>
      <c r="BU124" s="89">
        <f t="shared" ca="1" si="100"/>
        <v>0</v>
      </c>
    </row>
    <row r="125" spans="2:73">
      <c r="M125" s="76"/>
    </row>
    <row r="126" spans="2:73">
      <c r="K126" s="19" t="s">
        <v>336</v>
      </c>
    </row>
    <row r="127" spans="2:73">
      <c r="K127" s="137" t="s">
        <v>264</v>
      </c>
      <c r="M127" s="144">
        <f ca="1">IF(M3&gt;$E$86,0,MAX(0,M116-SUM($M114:M114)+SUM($L116:L116)))</f>
        <v>0</v>
      </c>
      <c r="N127" s="144">
        <f ca="1">IF(N3&gt;$E$86,0,MAX(0,N116-SUM($M114:N114)+SUM($L116:M116)))</f>
        <v>0</v>
      </c>
      <c r="O127" s="144">
        <f ca="1">IF(O3&gt;$E$86,0,MAX(0,O116-SUM($M114:O114)+SUM($L116:N116)))</f>
        <v>0</v>
      </c>
      <c r="P127" s="144">
        <f ca="1">IF(P3&gt;$E$86,0,MAX(0,P116-SUM($M114:P114)+SUM($L116:O116)))</f>
        <v>0</v>
      </c>
      <c r="Q127" s="144">
        <f ca="1">IF(Q3&gt;$E$86,0,MAX(0,Q116-SUM($M114:Q114)+SUM($L116:P116)))</f>
        <v>0</v>
      </c>
      <c r="R127" s="144">
        <f ca="1">IF(R3&gt;$E$86,0,MAX(0,R116-SUM($M114:R114)+SUM($L116:Q116)))</f>
        <v>0</v>
      </c>
      <c r="S127" s="144">
        <f ca="1">IF(S3&gt;$E$86,0,MAX(0,S116-SUM($M114:S114)+SUM($L116:R116)))</f>
        <v>0</v>
      </c>
      <c r="T127" s="144">
        <f ca="1">IF(T3&gt;$E$86,0,MAX(0,T116-SUM($M114:T114)+SUM($L116:S116)))</f>
        <v>0</v>
      </c>
      <c r="U127" s="144">
        <f ca="1">IF(U3&gt;$E$86,0,MAX(0,U116-SUM($M114:U114)+SUM($L116:T116)))</f>
        <v>0</v>
      </c>
      <c r="V127" s="144">
        <f ca="1">IF(V3&gt;$E$86,0,MAX(0,V116-SUM($M114:V114)+SUM($L116:U116)))</f>
        <v>0</v>
      </c>
      <c r="W127" s="144">
        <f ca="1">IF(W3&gt;$E$86,0,MAX(0,W116-SUM($M114:W114)+SUM($L116:V116)))</f>
        <v>0</v>
      </c>
      <c r="X127" s="144">
        <f ca="1">IF(X3&gt;$E$86,0,MAX(0,X116-SUM($M114:X114)+SUM($L116:W116)))</f>
        <v>0</v>
      </c>
      <c r="Y127" s="144">
        <f ca="1">IF(Y3&gt;$E$86,0,MAX(0,Y116-SUM($M114:Y114)+SUM($L116:X116)))</f>
        <v>0</v>
      </c>
      <c r="Z127" s="144">
        <f ca="1">IF(Z3&gt;$E$86,0,MAX(0,Z116-SUM($M114:Z114)+SUM($L116:Y116)))</f>
        <v>0</v>
      </c>
      <c r="AA127" s="144">
        <f ca="1">IF(AA3&gt;$E$86,0,MAX(0,AA116-SUM($M114:AA114)+SUM($L116:Z116)))</f>
        <v>0</v>
      </c>
      <c r="AB127" s="144">
        <f ca="1">IF(AB3&gt;$E$86,0,MAX(0,AB116-SUM($M114:AB114)+SUM($L116:AA116)))</f>
        <v>0</v>
      </c>
      <c r="AC127" s="144">
        <f ca="1">IF(AC3&gt;$E$86,0,MAX(0,AC116-SUM($M114:AC114)+SUM($L116:AB116)))</f>
        <v>0</v>
      </c>
      <c r="AD127" s="144">
        <f ca="1">IF(AD3&gt;$E$86,0,MAX(0,AD116-SUM($M114:AD114)+SUM($L116:AC116)))</f>
        <v>0</v>
      </c>
      <c r="AE127" s="144">
        <f ca="1">IF(AE3&gt;$E$86,0,MAX(0,AE116-SUM($M114:AE114)+SUM($L116:AD116)))</f>
        <v>0</v>
      </c>
      <c r="AF127" s="144">
        <f ca="1">IF(AF3&gt;$E$86,0,MAX(0,AF116-SUM($M114:AF114)+SUM($L116:AE116)))</f>
        <v>0</v>
      </c>
      <c r="AG127" s="144">
        <f ca="1">IF(AG3&gt;$E$86,0,MAX(0,AG116-SUM($M114:AG114)+SUM($L116:AF116)))</f>
        <v>0</v>
      </c>
      <c r="AH127" s="144">
        <f ca="1">IF(AH3&gt;$E$86,0,MAX(0,AH116-SUM($M114:AH114)+SUM($L116:AG116)))</f>
        <v>0</v>
      </c>
      <c r="AI127" s="144">
        <f ca="1">IF(AI3&gt;$E$86,0,MAX(0,AI116-SUM($M114:AI114)+SUM($L116:AH116)))</f>
        <v>0</v>
      </c>
      <c r="AJ127" s="144">
        <f ca="1">IF(AJ3&gt;$E$86,0,MAX(0,AJ116-SUM($M114:AJ114)+SUM($L116:AI116)))</f>
        <v>0</v>
      </c>
      <c r="AK127" s="144">
        <f ca="1">IF(AK3&gt;$E$86,0,MAX(0,AK116-SUM($M114:AK114)+SUM($L116:AJ116)))</f>
        <v>0</v>
      </c>
      <c r="AL127" s="144">
        <f ca="1">IF(AL3&gt;$E$86,0,MAX(0,AL116-SUM($M114:AL114)+SUM($L116:AK116)))</f>
        <v>0</v>
      </c>
      <c r="AM127" s="144">
        <f ca="1">IF(AM3&gt;$E$86,0,MAX(0,AM116-SUM($M114:AM114)+SUM($L116:AL116)))</f>
        <v>0</v>
      </c>
      <c r="AN127" s="144">
        <f ca="1">IF(AN3&gt;$E$86,0,MAX(0,AN116-SUM($M114:AN114)+SUM($L116:AM116)))</f>
        <v>0</v>
      </c>
      <c r="AO127" s="144">
        <f ca="1">IF(AO3&gt;$E$86,0,MAX(0,AO116-SUM($M114:AO114)+SUM($L116:AN116)))</f>
        <v>0</v>
      </c>
      <c r="AP127" s="144">
        <f ca="1">IF(AP3&gt;$E$86,0,MAX(0,AP116-SUM($M114:AP114)+SUM($L116:AO116)))</f>
        <v>0</v>
      </c>
      <c r="AQ127" s="144">
        <f ca="1">IF(AQ3&gt;$E$86,0,MAX(0,AQ116-SUM($M114:AQ114)+SUM($L116:AP116)))</f>
        <v>0</v>
      </c>
      <c r="AR127" s="144">
        <f ca="1">IF(AR3&gt;$E$86,0,MAX(0,AR116-SUM($M114:AR114)+SUM($L116:AQ116)))</f>
        <v>0</v>
      </c>
      <c r="AS127" s="144">
        <f ca="1">IF(AS3&gt;$E$86,0,MAX(0,AS116-SUM($M114:AS114)+SUM($L116:AR116)))</f>
        <v>0</v>
      </c>
      <c r="AT127" s="144">
        <f ca="1">IF(AT3&gt;$E$86,0,MAX(0,AT116-SUM($M114:AT114)+SUM($L116:AS116)))</f>
        <v>0</v>
      </c>
      <c r="AU127" s="144">
        <f ca="1">IF(AU3&gt;$E$86,0,MAX(0,AU116-SUM($M114:AU114)+SUM($L116:AT116)))</f>
        <v>0</v>
      </c>
      <c r="AV127" s="144">
        <f ca="1">IF(AV3&gt;$E$86,0,MAX(0,AV116-SUM($M114:AV114)+SUM($L116:AU116)))</f>
        <v>0</v>
      </c>
      <c r="AW127" s="144">
        <f ca="1">IF(AW3&gt;$E$86,0,MAX(0,AW116-SUM($M114:AW114)+SUM($L116:AV116)))</f>
        <v>1815695.1748717194</v>
      </c>
      <c r="AX127" s="144">
        <f>IF(AX3&gt;$E$86,0,MAX(0,AX116-SUM($M114:AX114)+SUM($L116:AW116)))</f>
        <v>0</v>
      </c>
      <c r="AY127" s="144">
        <f>IF(AY3&gt;$E$86,0,MAX(0,AY116-SUM($M114:AY114)+SUM($L116:AX116)))</f>
        <v>0</v>
      </c>
      <c r="AZ127" s="144">
        <f>IF(AZ3&gt;$E$86,0,MAX(0,AZ116-SUM($M114:AZ114)+SUM($L116:AY116)))</f>
        <v>0</v>
      </c>
      <c r="BA127" s="144">
        <f>IF(BA3&gt;$E$86,0,MAX(0,BA116-SUM($M114:BA114)+SUM($L116:AZ116)))</f>
        <v>0</v>
      </c>
      <c r="BB127" s="144">
        <f>IF(BB3&gt;$E$86,0,MAX(0,BB116-SUM($M114:BB114)+SUM($L116:BA116)))</f>
        <v>0</v>
      </c>
      <c r="BC127" s="144">
        <f>IF(BC3&gt;$E$86,0,MAX(0,BC116-SUM($M114:BC114)+SUM($L116:BB116)))</f>
        <v>0</v>
      </c>
      <c r="BD127" s="144">
        <f>IF(BD3&gt;$E$86,0,MAX(0,BD116-SUM($M114:BD114)+SUM($L116:BC116)))</f>
        <v>0</v>
      </c>
      <c r="BE127" s="144">
        <f>IF(BE3&gt;$E$86,0,MAX(0,BE116-SUM($M114:BE114)+SUM($L116:BD116)))</f>
        <v>0</v>
      </c>
      <c r="BF127" s="144">
        <f>IF(BF3&gt;$E$86,0,MAX(0,BF116-SUM($M114:BF114)+SUM($L116:BE116)))</f>
        <v>0</v>
      </c>
      <c r="BG127" s="144">
        <f>IF(BG3&gt;$E$86,0,MAX(0,BG116-SUM($M114:BG114)+SUM($L116:BF116)))</f>
        <v>0</v>
      </c>
      <c r="BH127" s="144">
        <f>IF(BH3&gt;$E$86,0,MAX(0,BH116-SUM($M114:BH114)+SUM($L116:BG116)))</f>
        <v>0</v>
      </c>
      <c r="BI127" s="144">
        <f>IF(BI3&gt;$E$86,0,MAX(0,BI116-SUM($M114:BI114)+SUM($L116:BH116)))</f>
        <v>0</v>
      </c>
      <c r="BJ127" s="144">
        <f>IF(BJ3&gt;$E$86,0,MAX(0,BJ116-SUM($M114:BJ114)+SUM($L116:BI116)))</f>
        <v>0</v>
      </c>
      <c r="BK127" s="144">
        <f>IF(BK3&gt;$E$86,0,MAX(0,BK116-SUM($M114:BK114)+SUM($L116:BJ116)))</f>
        <v>0</v>
      </c>
      <c r="BL127" s="144">
        <f>IF(BL3&gt;$E$86,0,MAX(0,BL116-SUM($M114:BL114)+SUM($L116:BK116)))</f>
        <v>0</v>
      </c>
      <c r="BM127" s="144">
        <f>IF(BM3&gt;$E$86,0,MAX(0,BM116-SUM($M114:BM114)+SUM($L116:BL116)))</f>
        <v>0</v>
      </c>
      <c r="BN127" s="144">
        <f>IF(BN3&gt;$E$86,0,MAX(0,BN116-SUM($M114:BN114)+SUM($L116:BM116)))</f>
        <v>0</v>
      </c>
      <c r="BO127" s="144">
        <f>IF(BO3&gt;$E$86,0,MAX(0,BO116-SUM($M114:BO114)+SUM($L116:BN116)))</f>
        <v>0</v>
      </c>
      <c r="BP127" s="144">
        <f>IF(BP3&gt;$E$86,0,MAX(0,BP116-SUM($M114:BP114)+SUM($L116:BO116)))</f>
        <v>0</v>
      </c>
      <c r="BQ127" s="144">
        <f>IF(BQ3&gt;$E$86,0,MAX(0,BQ116-SUM($M114:BQ114)+SUM($L116:BP116)))</f>
        <v>0</v>
      </c>
      <c r="BR127" s="144">
        <f>IF(BR3&gt;$E$86,0,MAX(0,BR116-SUM($M114:BR114)+SUM($L116:BQ116)))</f>
        <v>0</v>
      </c>
      <c r="BS127" s="144">
        <f>IF(BS3&gt;$E$86,0,MAX(0,BS116-SUM($M114:BS114)+SUM($L116:BR116)))</f>
        <v>0</v>
      </c>
      <c r="BT127" s="144">
        <f>IF(BT3&gt;$E$86,0,MAX(0,BT116-SUM($M114:BT114)+SUM($L116:BS116)))</f>
        <v>0</v>
      </c>
      <c r="BU127" s="144">
        <f>IF(BU3&gt;$E$86,0,MAX(0,BU116-SUM($M114:BU114)+SUM($L116:BT116)))</f>
        <v>0</v>
      </c>
    </row>
    <row r="128" spans="2:73">
      <c r="K128" s="137" t="s">
        <v>265</v>
      </c>
      <c r="M128" s="144">
        <f ca="1">IF(M3&gt;$E$86,0,MAX(0,M121-SUM($M120:M120)+SUM($L121:L121)))</f>
        <v>0</v>
      </c>
      <c r="N128" s="144">
        <f ca="1">IF(N3&gt;$E$86,0,MAX(0,N121-SUM($M120:N120)+SUM($L121:M121)))</f>
        <v>0</v>
      </c>
      <c r="O128" s="144">
        <f ca="1">IF(O3&gt;$E$86,0,MAX(0,O121-SUM($M120:O120)+SUM($L121:N121)))</f>
        <v>0</v>
      </c>
      <c r="P128" s="144">
        <f ca="1">IF(P3&gt;$E$86,0,MAX(0,P121-SUM($M120:P120)+SUM($L121:O121)))</f>
        <v>0</v>
      </c>
      <c r="Q128" s="144">
        <f ca="1">IF(Q3&gt;$E$86,0,MAX(0,Q121-SUM($M120:Q120)+SUM($L121:P121)))</f>
        <v>0</v>
      </c>
      <c r="R128" s="144">
        <f ca="1">IF(R3&gt;$E$86,0,MAX(0,R121-SUM($M120:R120)+SUM($L121:Q121)))</f>
        <v>0</v>
      </c>
      <c r="S128" s="144">
        <f ca="1">IF(S3&gt;$E$86,0,MAX(0,S121-SUM($M120:S120)+SUM($L121:R121)))</f>
        <v>0</v>
      </c>
      <c r="T128" s="144">
        <f ca="1">IF(T3&gt;$E$86,0,MAX(0,T121-SUM($M120:T120)+SUM($L121:S121)))</f>
        <v>0</v>
      </c>
      <c r="U128" s="144">
        <f ca="1">IF(U3&gt;$E$86,0,MAX(0,U121-SUM($M120:U120)+SUM($L121:T121)))</f>
        <v>0</v>
      </c>
      <c r="V128" s="144">
        <f ca="1">IF(V3&gt;$E$86,0,MAX(0,V121-SUM($M120:V120)+SUM($L121:U121)))</f>
        <v>0</v>
      </c>
      <c r="W128" s="144">
        <f ca="1">IF(W3&gt;$E$86,0,MAX(0,W121-SUM($M120:W120)+SUM($L121:V121)))</f>
        <v>0</v>
      </c>
      <c r="X128" s="144">
        <f ca="1">IF(X3&gt;$E$86,0,MAX(0,X121-SUM($M120:X120)+SUM($L121:W121)))</f>
        <v>0</v>
      </c>
      <c r="Y128" s="144">
        <f ca="1">IF(Y3&gt;$E$86,0,MAX(0,Y121-SUM($M120:Y120)+SUM($L121:X121)))</f>
        <v>0</v>
      </c>
      <c r="Z128" s="144">
        <f ca="1">IF(Z3&gt;$E$86,0,MAX(0,Z121-SUM($M120:Z120)+SUM($L121:Y121)))</f>
        <v>0</v>
      </c>
      <c r="AA128" s="144">
        <f ca="1">IF(AA3&gt;$E$86,0,MAX(0,AA121-SUM($M120:AA120)+SUM($L121:Z121)))</f>
        <v>0</v>
      </c>
      <c r="AB128" s="144">
        <f ca="1">IF(AB3&gt;$E$86,0,MAX(0,AB121-SUM($M120:AB120)+SUM($L121:AA121)))</f>
        <v>0</v>
      </c>
      <c r="AC128" s="144">
        <f ca="1">IF(AC3&gt;$E$86,0,MAX(0,AC121-SUM($M120:AC120)+SUM($L121:AB121)))</f>
        <v>0</v>
      </c>
      <c r="AD128" s="144">
        <f ca="1">IF(AD3&gt;$E$86,0,MAX(0,AD121-SUM($M120:AD120)+SUM($L121:AC121)))</f>
        <v>0</v>
      </c>
      <c r="AE128" s="144">
        <f ca="1">IF(AE3&gt;$E$86,0,MAX(0,AE121-SUM($M120:AE120)+SUM($L121:AD121)))</f>
        <v>0</v>
      </c>
      <c r="AF128" s="144">
        <f ca="1">IF(AF3&gt;$E$86,0,MAX(0,AF121-SUM($M120:AF120)+SUM($L121:AE121)))</f>
        <v>0</v>
      </c>
      <c r="AG128" s="144">
        <f ca="1">IF(AG3&gt;$E$86,0,MAX(0,AG121-SUM($M120:AG120)+SUM($L121:AF121)))</f>
        <v>0</v>
      </c>
      <c r="AH128" s="144">
        <f ca="1">IF(AH3&gt;$E$86,0,MAX(0,AH121-SUM($M120:AH120)+SUM($L121:AG121)))</f>
        <v>0</v>
      </c>
      <c r="AI128" s="144">
        <f ca="1">IF(AI3&gt;$E$86,0,MAX(0,AI121-SUM($M120:AI120)+SUM($L121:AH121)))</f>
        <v>0</v>
      </c>
      <c r="AJ128" s="144">
        <f ca="1">IF(AJ3&gt;$E$86,0,MAX(0,AJ121-SUM($M120:AJ120)+SUM($L121:AI121)))</f>
        <v>0</v>
      </c>
      <c r="AK128" s="144">
        <f ca="1">IF(AK3&gt;$E$86,0,MAX(0,AK121-SUM($M120:AK120)+SUM($L121:AJ121)))</f>
        <v>0</v>
      </c>
      <c r="AL128" s="144">
        <f ca="1">IF(AL3&gt;$E$86,0,MAX(0,AL121-SUM($M120:AL120)+SUM($L121:AK121)))</f>
        <v>0</v>
      </c>
      <c r="AM128" s="144">
        <f ca="1">IF(AM3&gt;$E$86,0,MAX(0,AM121-SUM($M120:AM120)+SUM($L121:AL121)))</f>
        <v>0</v>
      </c>
      <c r="AN128" s="144">
        <f ca="1">IF(AN3&gt;$E$86,0,MAX(0,AN121-SUM($M120:AN120)+SUM($L121:AM121)))</f>
        <v>0</v>
      </c>
      <c r="AO128" s="144">
        <f ca="1">IF(AO3&gt;$E$86,0,MAX(0,AO121-SUM($M120:AO120)+SUM($L121:AN121)))</f>
        <v>0</v>
      </c>
      <c r="AP128" s="144">
        <f ca="1">IF(AP3&gt;$E$86,0,MAX(0,AP121-SUM($M120:AP120)+SUM($L121:AO121)))</f>
        <v>0</v>
      </c>
      <c r="AQ128" s="144">
        <f ca="1">IF(AQ3&gt;$E$86,0,MAX(0,AQ121-SUM($M120:AQ120)+SUM($L121:AP121)))</f>
        <v>0</v>
      </c>
      <c r="AR128" s="144">
        <f ca="1">IF(AR3&gt;$E$86,0,MAX(0,AR121-SUM($M120:AR120)+SUM($L121:AQ121)))</f>
        <v>0</v>
      </c>
      <c r="AS128" s="144">
        <f ca="1">IF(AS3&gt;$E$86,0,MAX(0,AS121-SUM($M120:AS120)+SUM($L121:AR121)))</f>
        <v>0</v>
      </c>
      <c r="AT128" s="144">
        <f ca="1">IF(AT3&gt;$E$86,0,MAX(0,AT121-SUM($M120:AT120)+SUM($L121:AS121)))</f>
        <v>0</v>
      </c>
      <c r="AU128" s="144">
        <f ca="1">IF(AU3&gt;$E$86,0,MAX(0,AU121-SUM($M120:AU120)+SUM($L121:AT121)))</f>
        <v>0</v>
      </c>
      <c r="AV128" s="144">
        <f ca="1">IF(AV3&gt;$E$86,0,MAX(0,AV121-SUM($M120:AV120)+SUM($L121:AU121)))</f>
        <v>0</v>
      </c>
      <c r="AW128" s="144">
        <f ca="1">IF(AW3&gt;$E$86,0,MAX(0,AW121-SUM($M120:AW120)+SUM($L121:AV121)))</f>
        <v>201743.90831907987</v>
      </c>
      <c r="AX128" s="144">
        <f>IF(AX3&gt;$E$86,0,MAX(0,AX121-SUM($M120:AX120)+SUM($L121:AW121)))</f>
        <v>0</v>
      </c>
      <c r="AY128" s="144">
        <f>IF(AY3&gt;$E$86,0,MAX(0,AY121-SUM($M120:AY120)+SUM($L121:AX121)))</f>
        <v>0</v>
      </c>
      <c r="AZ128" s="144">
        <f>IF(AZ3&gt;$E$86,0,MAX(0,AZ121-SUM($M120:AZ120)+SUM($L121:AY121)))</f>
        <v>0</v>
      </c>
      <c r="BA128" s="144">
        <f>IF(BA3&gt;$E$86,0,MAX(0,BA121-SUM($M120:BA120)+SUM($L121:AZ121)))</f>
        <v>0</v>
      </c>
      <c r="BB128" s="144">
        <f>IF(BB3&gt;$E$86,0,MAX(0,BB121-SUM($M120:BB120)+SUM($L121:BA121)))</f>
        <v>0</v>
      </c>
      <c r="BC128" s="144">
        <f>IF(BC3&gt;$E$86,0,MAX(0,BC121-SUM($M120:BC120)+SUM($L121:BB121)))</f>
        <v>0</v>
      </c>
      <c r="BD128" s="144">
        <f>IF(BD3&gt;$E$86,0,MAX(0,BD121-SUM($M120:BD120)+SUM($L121:BC121)))</f>
        <v>0</v>
      </c>
      <c r="BE128" s="144">
        <f>IF(BE3&gt;$E$86,0,MAX(0,BE121-SUM($M120:BE120)+SUM($L121:BD121)))</f>
        <v>0</v>
      </c>
      <c r="BF128" s="144">
        <f>IF(BF3&gt;$E$86,0,MAX(0,BF121-SUM($M120:BF120)+SUM($L121:BE121)))</f>
        <v>0</v>
      </c>
      <c r="BG128" s="144">
        <f>IF(BG3&gt;$E$86,0,MAX(0,BG121-SUM($M120:BG120)+SUM($L121:BF121)))</f>
        <v>0</v>
      </c>
      <c r="BH128" s="144">
        <f>IF(BH3&gt;$E$86,0,MAX(0,BH121-SUM($M120:BH120)+SUM($L121:BG121)))</f>
        <v>0</v>
      </c>
      <c r="BI128" s="144">
        <f>IF(BI3&gt;$E$86,0,MAX(0,BI121-SUM($M120:BI120)+SUM($L121:BH121)))</f>
        <v>0</v>
      </c>
      <c r="BJ128" s="144">
        <f>IF(BJ3&gt;$E$86,0,MAX(0,BJ121-SUM($M120:BJ120)+SUM($L121:BI121)))</f>
        <v>0</v>
      </c>
      <c r="BK128" s="144">
        <f>IF(BK3&gt;$E$86,0,MAX(0,BK121-SUM($M120:BK120)+SUM($L121:BJ121)))</f>
        <v>0</v>
      </c>
      <c r="BL128" s="144">
        <f>IF(BL3&gt;$E$86,0,MAX(0,BL121-SUM($M120:BL120)+SUM($L121:BK121)))</f>
        <v>0</v>
      </c>
      <c r="BM128" s="144">
        <f>IF(BM3&gt;$E$86,0,MAX(0,BM121-SUM($M120:BM120)+SUM($L121:BL121)))</f>
        <v>0</v>
      </c>
      <c r="BN128" s="144">
        <f>IF(BN3&gt;$E$86,0,MAX(0,BN121-SUM($M120:BN120)+SUM($L121:BM121)))</f>
        <v>0</v>
      </c>
      <c r="BO128" s="144">
        <f>IF(BO3&gt;$E$86,0,MAX(0,BO121-SUM($M120:BO120)+SUM($L121:BN121)))</f>
        <v>0</v>
      </c>
      <c r="BP128" s="144">
        <f>IF(BP3&gt;$E$86,0,MAX(0,BP121-SUM($M120:BP120)+SUM($L121:BO121)))</f>
        <v>0</v>
      </c>
      <c r="BQ128" s="144">
        <f>IF(BQ3&gt;$E$86,0,MAX(0,BQ121-SUM($M120:BQ120)+SUM($L121:BP121)))</f>
        <v>0</v>
      </c>
      <c r="BR128" s="144">
        <f>IF(BR3&gt;$E$86,0,MAX(0,BR121-SUM($M120:BR120)+SUM($L121:BQ121)))</f>
        <v>0</v>
      </c>
      <c r="BS128" s="144">
        <f>IF(BS3&gt;$E$86,0,MAX(0,BS121-SUM($M120:BS120)+SUM($L121:BR121)))</f>
        <v>0</v>
      </c>
      <c r="BT128" s="144">
        <f>IF(BT3&gt;$E$86,0,MAX(0,BT121-SUM($M120:BT120)+SUM($L121:BS121)))</f>
        <v>0</v>
      </c>
      <c r="BU128" s="144">
        <f>IF(BU3&gt;$E$86,0,MAX(0,BU121-SUM($M120:BU120)+SUM($L121:BT121)))</f>
        <v>0</v>
      </c>
    </row>
    <row r="129" spans="11:73">
      <c r="K129" s="137" t="s">
        <v>340</v>
      </c>
      <c r="M129" s="144">
        <f ca="1">MAX(0,(SUM($M127:M127)*$E$113-SUM($M128:M128)*$D$113-SUM($L130:L130)*$D$113)/$D$113)</f>
        <v>0</v>
      </c>
      <c r="N129" s="144">
        <f ca="1">MAX(0,(SUM($M127:N127)*$E$113-SUM($M128:N128)*$D$113-SUM($L130:M130)*$D$113)/$D$113)</f>
        <v>0</v>
      </c>
      <c r="O129" s="144">
        <f ca="1">MAX(0,(SUM($M127:O127)*$E$113-SUM($M128:O128)*$D$113-SUM($L130:N130)*$D$113)/$D$113)</f>
        <v>0</v>
      </c>
      <c r="P129" s="144">
        <f ca="1">MAX(0,(SUM($M127:P127)*$E$113-SUM($M128:P128)*$D$113-SUM($L130:O130)*$D$113)/$D$113)</f>
        <v>0</v>
      </c>
      <c r="Q129" s="144">
        <f ca="1">MAX(0,(SUM($M127:Q127)*$E$113-SUM($M128:Q128)*$D$113-SUM($L130:P130)*$D$113)/$D$113)</f>
        <v>0</v>
      </c>
      <c r="R129" s="144">
        <f ca="1">MAX(0,(SUM($M127:R127)*$E$113-SUM($M128:R128)*$D$113-SUM($L130:Q130)*$D$113)/$D$113)</f>
        <v>0</v>
      </c>
      <c r="S129" s="144">
        <f ca="1">MAX(0,(SUM($M127:S127)*$E$113-SUM($M128:S128)*$D$113-SUM($L130:R130)*$D$113)/$D$113)</f>
        <v>0</v>
      </c>
      <c r="T129" s="144">
        <f ca="1">MAX(0,(SUM($M127:T127)*$E$113-SUM($M128:T128)*$D$113-SUM($L130:S130)*$D$113)/$D$113)</f>
        <v>0</v>
      </c>
      <c r="U129" s="144">
        <f ca="1">MAX(0,(SUM($M127:U127)*$E$113-SUM($M128:U128)*$D$113-SUM($L130:T130)*$D$113)/$D$113)</f>
        <v>0</v>
      </c>
      <c r="V129" s="144">
        <f ca="1">MAX(0,(SUM($M127:V127)*$E$113-SUM($M128:V128)*$D$113-SUM($L130:U130)*$D$113)/$D$113)</f>
        <v>0</v>
      </c>
      <c r="W129" s="144">
        <f ca="1">MAX(0,(SUM($M127:W127)*$E$113-SUM($M128:W128)*$D$113-SUM($L130:V130)*$D$113)/$D$113)</f>
        <v>0</v>
      </c>
      <c r="X129" s="144">
        <f ca="1">MAX(0,(SUM($M127:X127)*$E$113-SUM($M128:X128)*$D$113-SUM($L130:W130)*$D$113)/$D$113)</f>
        <v>0</v>
      </c>
      <c r="Y129" s="144">
        <f ca="1">MAX(0,(SUM($M127:Y127)*$E$113-SUM($M128:Y128)*$D$113-SUM($L130:X130)*$D$113)/$D$113)</f>
        <v>0</v>
      </c>
      <c r="Z129" s="144">
        <f ca="1">MAX(0,(SUM($M127:Z127)*$E$113-SUM($M128:Z128)*$D$113-SUM($L130:Y130)*$D$113)/$D$113)</f>
        <v>0</v>
      </c>
      <c r="AA129" s="144">
        <f ca="1">MAX(0,(SUM($M127:AA127)*$E$113-SUM($M128:AA128)*$D$113-SUM($L130:Z130)*$D$113)/$D$113)</f>
        <v>0</v>
      </c>
      <c r="AB129" s="144">
        <f ca="1">MAX(0,(SUM($M127:AB127)*$E$113-SUM($M128:AB128)*$D$113-SUM($L130:AA130)*$D$113)/$D$113)</f>
        <v>0</v>
      </c>
      <c r="AC129" s="144">
        <f ca="1">MAX(0,(SUM($M127:AC127)*$E$113-SUM($M128:AC128)*$D$113-SUM($L130:AB130)*$D$113)/$D$113)</f>
        <v>0</v>
      </c>
      <c r="AD129" s="144">
        <f ca="1">MAX(0,(SUM($M127:AD127)*$E$113-SUM($M128:AD128)*$D$113-SUM($L130:AC130)*$D$113)/$D$113)</f>
        <v>0</v>
      </c>
      <c r="AE129" s="144">
        <f ca="1">MAX(0,(SUM($M127:AE127)*$E$113-SUM($M128:AE128)*$D$113-SUM($L130:AD130)*$D$113)/$D$113)</f>
        <v>0</v>
      </c>
      <c r="AF129" s="144">
        <f ca="1">MAX(0,(SUM($M127:AF127)*$E$113-SUM($M128:AF128)*$D$113-SUM($L130:AE130)*$D$113)/$D$113)</f>
        <v>0</v>
      </c>
      <c r="AG129" s="144">
        <f ca="1">MAX(0,(SUM($M127:AG127)*$E$113-SUM($M128:AG128)*$D$113-SUM($L130:AF130)*$D$113)/$D$113)</f>
        <v>0</v>
      </c>
      <c r="AH129" s="144">
        <f ca="1">MAX(0,(SUM($M127:AH127)*$E$113-SUM($M128:AH128)*$D$113-SUM($L130:AG130)*$D$113)/$D$113)</f>
        <v>0</v>
      </c>
      <c r="AI129" s="144">
        <f ca="1">MAX(0,(SUM($M127:AI127)*$E$113-SUM($M128:AI128)*$D$113-SUM($L130:AH130)*$D$113)/$D$113)</f>
        <v>0</v>
      </c>
      <c r="AJ129" s="144">
        <f ca="1">MAX(0,(SUM($M127:AJ127)*$E$113-SUM($M128:AJ128)*$D$113-SUM($L130:AI130)*$D$113)/$D$113)</f>
        <v>0</v>
      </c>
      <c r="AK129" s="144">
        <f ca="1">MAX(0,(SUM($M127:AK127)*$E$113-SUM($M128:AK128)*$D$113-SUM($L130:AJ130)*$D$113)/$D$113)</f>
        <v>0</v>
      </c>
      <c r="AL129" s="144">
        <f ca="1">MAX(0,(SUM($M127:AL127)*$E$113-SUM($M128:AL128)*$D$113-SUM($L130:AK130)*$D$113)/$D$113)</f>
        <v>0</v>
      </c>
      <c r="AM129" s="144">
        <f ca="1">MAX(0,(SUM($M127:AM127)*$E$113-SUM($M128:AM128)*$D$113-SUM($L130:AL130)*$D$113)/$D$113)</f>
        <v>0</v>
      </c>
      <c r="AN129" s="144">
        <f ca="1">MAX(0,(SUM($M127:AN127)*$E$113-SUM($M128:AN128)*$D$113-SUM($L130:AM130)*$D$113)/$D$113)</f>
        <v>0</v>
      </c>
      <c r="AO129" s="144">
        <f ca="1">MAX(0,(SUM($M127:AO127)*$E$113-SUM($M128:AO128)*$D$113-SUM($L130:AN130)*$D$113)/$D$113)</f>
        <v>0</v>
      </c>
      <c r="AP129" s="144">
        <f ca="1">MAX(0,(SUM($M127:AP127)*$E$113-SUM($M128:AP128)*$D$113-SUM($L130:AO130)*$D$113)/$D$113)</f>
        <v>0</v>
      </c>
      <c r="AQ129" s="144">
        <f ca="1">MAX(0,(SUM($M127:AQ127)*$E$113-SUM($M128:AQ128)*$D$113-SUM($L130:AP130)*$D$113)/$D$113)</f>
        <v>0</v>
      </c>
      <c r="AR129" s="144">
        <f ca="1">MAX(0,(SUM($M127:AR127)*$E$113-SUM($M128:AR128)*$D$113-SUM($L130:AQ130)*$D$113)/$D$113)</f>
        <v>0</v>
      </c>
      <c r="AS129" s="144">
        <f ca="1">MAX(0,(SUM($M127:AS127)*$E$113-SUM($M128:AS128)*$D$113-SUM($L130:AR130)*$D$113)/$D$113)</f>
        <v>0</v>
      </c>
      <c r="AT129" s="144">
        <f ca="1">MAX(0,(SUM($M127:AT127)*$E$113-SUM($M128:AT128)*$D$113-SUM($L130:AS130)*$D$113)/$D$113)</f>
        <v>0</v>
      </c>
      <c r="AU129" s="144">
        <f ca="1">MAX(0,(SUM($M127:AU127)*$E$113-SUM($M128:AU128)*$D$113-SUM($L130:AT130)*$D$113)/$D$113)</f>
        <v>0</v>
      </c>
      <c r="AV129" s="144">
        <f ca="1">MAX(0,(SUM($M127:AV127)*$E$113-SUM($M128:AV128)*$D$113-SUM($L130:AU130)*$D$113)/$D$113)</f>
        <v>0</v>
      </c>
      <c r="AW129" s="144">
        <f ca="1">MAX(0,(SUM($M127:AW127)*$E$113-SUM($M128:AW128)*$D$113-SUM($L130:AV130)*$D$113)/$D$113)</f>
        <v>252179.68539892044</v>
      </c>
      <c r="AX129" s="144">
        <f ca="1">MAX(0,(SUM($M127:AX127)*$E$113-SUM($M128:AX128)*$D$113-SUM($L130:AW130)*$D$113)/$D$113)</f>
        <v>0</v>
      </c>
      <c r="AY129" s="144">
        <f ca="1">MAX(0,(SUM($M127:AY127)*$E$113-SUM($M128:AY128)*$D$113-SUM($L130:AX130)*$D$113)/$D$113)</f>
        <v>0</v>
      </c>
      <c r="AZ129" s="144">
        <f ca="1">MAX(0,(SUM($M127:AZ127)*$E$113-SUM($M128:AZ128)*$D$113-SUM($L130:AY130)*$D$113)/$D$113)</f>
        <v>0</v>
      </c>
      <c r="BA129" s="144">
        <f ca="1">MAX(0,(SUM($M127:BA127)*$E$113-SUM($M128:BA128)*$D$113-SUM($L130:AZ130)*$D$113)/$D$113)</f>
        <v>0</v>
      </c>
      <c r="BB129" s="144">
        <f ca="1">MAX(0,(SUM($M127:BB127)*$E$113-SUM($M128:BB128)*$D$113-SUM($L130:BA130)*$D$113)/$D$113)</f>
        <v>0</v>
      </c>
      <c r="BC129" s="144">
        <f ca="1">MAX(0,(SUM($M127:BC127)*$E$113-SUM($M128:BC128)*$D$113-SUM($L130:BB130)*$D$113)/$D$113)</f>
        <v>0</v>
      </c>
      <c r="BD129" s="144">
        <f ca="1">MAX(0,(SUM($M127:BD127)*$E$113-SUM($M128:BD128)*$D$113-SUM($L130:BC130)*$D$113)/$D$113)</f>
        <v>0</v>
      </c>
      <c r="BE129" s="144">
        <f ca="1">MAX(0,(SUM($M127:BE127)*$E$113-SUM($M128:BE128)*$D$113-SUM($L130:BD130)*$D$113)/$D$113)</f>
        <v>0</v>
      </c>
      <c r="BF129" s="144">
        <f ca="1">MAX(0,(SUM($M127:BF127)*$E$113-SUM($M128:BF128)*$D$113-SUM($L130:BE130)*$D$113)/$D$113)</f>
        <v>0</v>
      </c>
      <c r="BG129" s="144">
        <f ca="1">MAX(0,(SUM($M127:BG127)*$E$113-SUM($M128:BG128)*$D$113-SUM($L130:BF130)*$D$113)/$D$113)</f>
        <v>0</v>
      </c>
      <c r="BH129" s="144">
        <f ca="1">MAX(0,(SUM($M127:BH127)*$E$113-SUM($M128:BH128)*$D$113-SUM($L130:BG130)*$D$113)/$D$113)</f>
        <v>0</v>
      </c>
      <c r="BI129" s="144">
        <f ca="1">MAX(0,(SUM($M127:BI127)*$E$113-SUM($M128:BI128)*$D$113-SUM($L130:BH130)*$D$113)/$D$113)</f>
        <v>0</v>
      </c>
      <c r="BJ129" s="144">
        <f ca="1">MAX(0,(SUM($M127:BJ127)*$E$113-SUM($M128:BJ128)*$D$113-SUM($L130:BI130)*$D$113)/$D$113)</f>
        <v>0</v>
      </c>
      <c r="BK129" s="144">
        <f ca="1">MAX(0,(SUM($M127:BK127)*$E$113-SUM($M128:BK128)*$D$113-SUM($L130:BJ130)*$D$113)/$D$113)</f>
        <v>0</v>
      </c>
      <c r="BL129" s="144">
        <f ca="1">MAX(0,(SUM($M127:BL127)*$E$113-SUM($M128:BL128)*$D$113-SUM($L130:BK130)*$D$113)/$D$113)</f>
        <v>0</v>
      </c>
      <c r="BM129" s="144">
        <f ca="1">MAX(0,(SUM($M127:BM127)*$E$113-SUM($M128:BM128)*$D$113-SUM($L130:BL130)*$D$113)/$D$113)</f>
        <v>0</v>
      </c>
      <c r="BN129" s="144">
        <f ca="1">MAX(0,(SUM($M127:BN127)*$E$113-SUM($M128:BN128)*$D$113-SUM($L130:BM130)*$D$113)/$D$113)</f>
        <v>0</v>
      </c>
      <c r="BO129" s="144">
        <f ca="1">MAX(0,(SUM($M127:BO127)*$E$113-SUM($M128:BO128)*$D$113-SUM($L130:BN130)*$D$113)/$D$113)</f>
        <v>0</v>
      </c>
      <c r="BP129" s="144">
        <f ca="1">MAX(0,(SUM($M127:BP127)*$E$113-SUM($M128:BP128)*$D$113-SUM($L130:BO130)*$D$113)/$D$113)</f>
        <v>0</v>
      </c>
      <c r="BQ129" s="144">
        <f ca="1">MAX(0,(SUM($M127:BQ127)*$E$113-SUM($M128:BQ128)*$D$113-SUM($L130:BP130)*$D$113)/$D$113)</f>
        <v>0</v>
      </c>
      <c r="BR129" s="144">
        <f ca="1">MAX(0,(SUM($M127:BR127)*$E$113-SUM($M128:BR128)*$D$113-SUM($L130:BQ130)*$D$113)/$D$113)</f>
        <v>0</v>
      </c>
      <c r="BS129" s="144">
        <f ca="1">MAX(0,(SUM($M127:BS127)*$E$113-SUM($M128:BS128)*$D$113-SUM($L130:BR130)*$D$113)/$D$113)</f>
        <v>0</v>
      </c>
      <c r="BT129" s="144">
        <f ca="1">MAX(0,(SUM($M127:BT127)*$E$113-SUM($M128:BT128)*$D$113-SUM($L130:BS130)*$D$113)/$D$113)</f>
        <v>0</v>
      </c>
      <c r="BU129" s="144">
        <f ca="1">MAX(0,(SUM($M127:BU127)*$E$113-SUM($M128:BU128)*$D$113-SUM($L130:BT130)*$D$113)/$D$113)</f>
        <v>0</v>
      </c>
    </row>
    <row r="130" spans="11:73">
      <c r="K130" s="137" t="s">
        <v>266</v>
      </c>
      <c r="L130" s="50">
        <f ca="1">IFERROR((SUMIF($M$3:$BU$3,"&lt;="&amp;$E$86,$M$128:$BU$128)+SUMIF($M$3:$BU$3,"&lt;="&amp;$E$86,$M$130:$BU$130))/(SUMIF($M$3:$BU$3,"&lt;="&amp;$E$86,$M$127:$BU$127)+SUMIF($M$3:$BU$3,"&lt;="&amp;$E$86,$M$128:$BU$128)+SUMIF($M$3:$BU$3,"&lt;="&amp;$E$86,$M$130:$BU$130)),0)</f>
        <v>0.19999992952520468</v>
      </c>
      <c r="M130" s="89">
        <f t="shared" ref="M130:AR130" ca="1" si="101">MIN(M129,M124)</f>
        <v>0</v>
      </c>
      <c r="N130" s="89">
        <f t="shared" ca="1" si="101"/>
        <v>0</v>
      </c>
      <c r="O130" s="89">
        <f t="shared" ca="1" si="101"/>
        <v>0</v>
      </c>
      <c r="P130" s="89">
        <f t="shared" ca="1" si="101"/>
        <v>0</v>
      </c>
      <c r="Q130" s="89">
        <f t="shared" ca="1" si="101"/>
        <v>0</v>
      </c>
      <c r="R130" s="89">
        <f t="shared" ca="1" si="101"/>
        <v>0</v>
      </c>
      <c r="S130" s="89">
        <f t="shared" ca="1" si="101"/>
        <v>0</v>
      </c>
      <c r="T130" s="89">
        <f t="shared" ca="1" si="101"/>
        <v>0</v>
      </c>
      <c r="U130" s="89">
        <f t="shared" ca="1" si="101"/>
        <v>0</v>
      </c>
      <c r="V130" s="89">
        <f t="shared" ca="1" si="101"/>
        <v>0</v>
      </c>
      <c r="W130" s="89">
        <f t="shared" ca="1" si="101"/>
        <v>0</v>
      </c>
      <c r="X130" s="89">
        <f t="shared" ca="1" si="101"/>
        <v>0</v>
      </c>
      <c r="Y130" s="89">
        <f t="shared" ca="1" si="101"/>
        <v>0</v>
      </c>
      <c r="Z130" s="89">
        <f t="shared" ca="1" si="101"/>
        <v>0</v>
      </c>
      <c r="AA130" s="89">
        <f t="shared" ca="1" si="101"/>
        <v>0</v>
      </c>
      <c r="AB130" s="89">
        <f t="shared" ca="1" si="101"/>
        <v>0</v>
      </c>
      <c r="AC130" s="89">
        <f t="shared" ca="1" si="101"/>
        <v>0</v>
      </c>
      <c r="AD130" s="89">
        <f t="shared" ca="1" si="101"/>
        <v>0</v>
      </c>
      <c r="AE130" s="89">
        <f t="shared" ca="1" si="101"/>
        <v>0</v>
      </c>
      <c r="AF130" s="89">
        <f t="shared" ca="1" si="101"/>
        <v>0</v>
      </c>
      <c r="AG130" s="89">
        <f t="shared" ca="1" si="101"/>
        <v>0</v>
      </c>
      <c r="AH130" s="89">
        <f t="shared" ca="1" si="101"/>
        <v>0</v>
      </c>
      <c r="AI130" s="89">
        <f t="shared" ca="1" si="101"/>
        <v>0</v>
      </c>
      <c r="AJ130" s="89">
        <f t="shared" ca="1" si="101"/>
        <v>0</v>
      </c>
      <c r="AK130" s="89">
        <f t="shared" ca="1" si="101"/>
        <v>0</v>
      </c>
      <c r="AL130" s="89">
        <f t="shared" ca="1" si="101"/>
        <v>0</v>
      </c>
      <c r="AM130" s="89">
        <f t="shared" ca="1" si="101"/>
        <v>0</v>
      </c>
      <c r="AN130" s="89">
        <f t="shared" ca="1" si="101"/>
        <v>0</v>
      </c>
      <c r="AO130" s="89">
        <f t="shared" ca="1" si="101"/>
        <v>0</v>
      </c>
      <c r="AP130" s="89">
        <f t="shared" ca="1" si="101"/>
        <v>0</v>
      </c>
      <c r="AQ130" s="89">
        <f t="shared" ca="1" si="101"/>
        <v>0</v>
      </c>
      <c r="AR130" s="89">
        <f t="shared" ca="1" si="101"/>
        <v>0</v>
      </c>
      <c r="AS130" s="89">
        <f t="shared" ref="AS130:BU130" ca="1" si="102">MIN(AS129,AS124)</f>
        <v>0</v>
      </c>
      <c r="AT130" s="89">
        <f t="shared" ca="1" si="102"/>
        <v>0</v>
      </c>
      <c r="AU130" s="89">
        <f t="shared" ca="1" si="102"/>
        <v>0</v>
      </c>
      <c r="AV130" s="89">
        <f t="shared" ca="1" si="102"/>
        <v>0</v>
      </c>
      <c r="AW130" s="89">
        <f t="shared" ca="1" si="102"/>
        <v>252179.68539892044</v>
      </c>
      <c r="AX130" s="89">
        <f t="shared" ca="1" si="102"/>
        <v>0</v>
      </c>
      <c r="AY130" s="89">
        <f t="shared" ca="1" si="102"/>
        <v>0</v>
      </c>
      <c r="AZ130" s="89">
        <f t="shared" ca="1" si="102"/>
        <v>0</v>
      </c>
      <c r="BA130" s="89">
        <f t="shared" ca="1" si="102"/>
        <v>0</v>
      </c>
      <c r="BB130" s="89">
        <f t="shared" ca="1" si="102"/>
        <v>0</v>
      </c>
      <c r="BC130" s="89">
        <f t="shared" ca="1" si="102"/>
        <v>0</v>
      </c>
      <c r="BD130" s="89">
        <f t="shared" ca="1" si="102"/>
        <v>0</v>
      </c>
      <c r="BE130" s="89">
        <f t="shared" ca="1" si="102"/>
        <v>0</v>
      </c>
      <c r="BF130" s="89">
        <f t="shared" ca="1" si="102"/>
        <v>0</v>
      </c>
      <c r="BG130" s="89">
        <f t="shared" ca="1" si="102"/>
        <v>0</v>
      </c>
      <c r="BH130" s="89">
        <f t="shared" ca="1" si="102"/>
        <v>0</v>
      </c>
      <c r="BI130" s="89">
        <f t="shared" ca="1" si="102"/>
        <v>0</v>
      </c>
      <c r="BJ130" s="89">
        <f t="shared" ca="1" si="102"/>
        <v>0</v>
      </c>
      <c r="BK130" s="89">
        <f t="shared" ca="1" si="102"/>
        <v>0</v>
      </c>
      <c r="BL130" s="89">
        <f t="shared" ca="1" si="102"/>
        <v>0</v>
      </c>
      <c r="BM130" s="89">
        <f t="shared" ca="1" si="102"/>
        <v>0</v>
      </c>
      <c r="BN130" s="89">
        <f t="shared" ca="1" si="102"/>
        <v>0</v>
      </c>
      <c r="BO130" s="89">
        <f t="shared" ca="1" si="102"/>
        <v>0</v>
      </c>
      <c r="BP130" s="89">
        <f t="shared" ca="1" si="102"/>
        <v>0</v>
      </c>
      <c r="BQ130" s="89">
        <f t="shared" ca="1" si="102"/>
        <v>0</v>
      </c>
      <c r="BR130" s="89">
        <f t="shared" ca="1" si="102"/>
        <v>0</v>
      </c>
      <c r="BS130" s="89">
        <f t="shared" ca="1" si="102"/>
        <v>0</v>
      </c>
      <c r="BT130" s="89">
        <f t="shared" ca="1" si="102"/>
        <v>0</v>
      </c>
      <c r="BU130" s="89">
        <f t="shared" ca="1" si="102"/>
        <v>0</v>
      </c>
    </row>
    <row r="131" spans="11:73">
      <c r="K131" s="137" t="s">
        <v>262</v>
      </c>
      <c r="M131" s="89">
        <f t="shared" ref="M131:AR131" ca="1" si="103">MAX(0,M124-M130)</f>
        <v>0</v>
      </c>
      <c r="N131" s="89">
        <f t="shared" ca="1" si="103"/>
        <v>0</v>
      </c>
      <c r="O131" s="89">
        <f t="shared" ca="1" si="103"/>
        <v>0</v>
      </c>
      <c r="P131" s="89">
        <f t="shared" ca="1" si="103"/>
        <v>0</v>
      </c>
      <c r="Q131" s="89">
        <f t="shared" ca="1" si="103"/>
        <v>0</v>
      </c>
      <c r="R131" s="89">
        <f t="shared" ca="1" si="103"/>
        <v>0</v>
      </c>
      <c r="S131" s="89">
        <f t="shared" ca="1" si="103"/>
        <v>0</v>
      </c>
      <c r="T131" s="89">
        <f t="shared" ca="1" si="103"/>
        <v>0</v>
      </c>
      <c r="U131" s="89">
        <f t="shared" ca="1" si="103"/>
        <v>0</v>
      </c>
      <c r="V131" s="89">
        <f t="shared" ca="1" si="103"/>
        <v>0</v>
      </c>
      <c r="W131" s="89">
        <f t="shared" ca="1" si="103"/>
        <v>0</v>
      </c>
      <c r="X131" s="89">
        <f t="shared" ca="1" si="103"/>
        <v>0</v>
      </c>
      <c r="Y131" s="89">
        <f t="shared" ca="1" si="103"/>
        <v>0</v>
      </c>
      <c r="Z131" s="89">
        <f t="shared" ca="1" si="103"/>
        <v>0</v>
      </c>
      <c r="AA131" s="89">
        <f t="shared" ca="1" si="103"/>
        <v>0</v>
      </c>
      <c r="AB131" s="89">
        <f t="shared" ca="1" si="103"/>
        <v>0</v>
      </c>
      <c r="AC131" s="89">
        <f t="shared" ca="1" si="103"/>
        <v>0</v>
      </c>
      <c r="AD131" s="89">
        <f t="shared" ca="1" si="103"/>
        <v>0</v>
      </c>
      <c r="AE131" s="89">
        <f t="shared" ca="1" si="103"/>
        <v>0</v>
      </c>
      <c r="AF131" s="89">
        <f t="shared" ca="1" si="103"/>
        <v>0</v>
      </c>
      <c r="AG131" s="89">
        <f t="shared" ca="1" si="103"/>
        <v>0</v>
      </c>
      <c r="AH131" s="89">
        <f t="shared" ca="1" si="103"/>
        <v>0</v>
      </c>
      <c r="AI131" s="89">
        <f t="shared" ca="1" si="103"/>
        <v>0</v>
      </c>
      <c r="AJ131" s="89">
        <f t="shared" ca="1" si="103"/>
        <v>0</v>
      </c>
      <c r="AK131" s="89">
        <f t="shared" ca="1" si="103"/>
        <v>0</v>
      </c>
      <c r="AL131" s="89">
        <f t="shared" ca="1" si="103"/>
        <v>0</v>
      </c>
      <c r="AM131" s="89">
        <f t="shared" ca="1" si="103"/>
        <v>0</v>
      </c>
      <c r="AN131" s="89">
        <f t="shared" ca="1" si="103"/>
        <v>0</v>
      </c>
      <c r="AO131" s="89">
        <f t="shared" ca="1" si="103"/>
        <v>0</v>
      </c>
      <c r="AP131" s="89">
        <f t="shared" ca="1" si="103"/>
        <v>0</v>
      </c>
      <c r="AQ131" s="89">
        <f t="shared" ca="1" si="103"/>
        <v>0</v>
      </c>
      <c r="AR131" s="89">
        <f t="shared" ca="1" si="103"/>
        <v>0</v>
      </c>
      <c r="AS131" s="89">
        <f t="shared" ref="AS131:BU131" ca="1" si="104">MAX(0,AS124-AS130)</f>
        <v>0</v>
      </c>
      <c r="AT131" s="89">
        <f t="shared" ca="1" si="104"/>
        <v>0</v>
      </c>
      <c r="AU131" s="89">
        <f t="shared" ca="1" si="104"/>
        <v>0</v>
      </c>
      <c r="AV131" s="89">
        <f t="shared" ca="1" si="104"/>
        <v>0</v>
      </c>
      <c r="AW131" s="89">
        <f t="shared" ca="1" si="104"/>
        <v>4621343.7948527467</v>
      </c>
      <c r="AX131" s="89">
        <f t="shared" ca="1" si="104"/>
        <v>0</v>
      </c>
      <c r="AY131" s="89">
        <f t="shared" ca="1" si="104"/>
        <v>0</v>
      </c>
      <c r="AZ131" s="89">
        <f t="shared" ca="1" si="104"/>
        <v>0</v>
      </c>
      <c r="BA131" s="89">
        <f t="shared" ca="1" si="104"/>
        <v>0</v>
      </c>
      <c r="BB131" s="89">
        <f t="shared" ca="1" si="104"/>
        <v>0</v>
      </c>
      <c r="BC131" s="89">
        <f t="shared" ca="1" si="104"/>
        <v>0</v>
      </c>
      <c r="BD131" s="89">
        <f t="shared" ca="1" si="104"/>
        <v>0</v>
      </c>
      <c r="BE131" s="89">
        <f t="shared" ca="1" si="104"/>
        <v>0</v>
      </c>
      <c r="BF131" s="89">
        <f t="shared" ca="1" si="104"/>
        <v>0</v>
      </c>
      <c r="BG131" s="89">
        <f t="shared" ca="1" si="104"/>
        <v>0</v>
      </c>
      <c r="BH131" s="89">
        <f t="shared" ca="1" si="104"/>
        <v>0</v>
      </c>
      <c r="BI131" s="89">
        <f t="shared" ca="1" si="104"/>
        <v>0</v>
      </c>
      <c r="BJ131" s="89">
        <f t="shared" ca="1" si="104"/>
        <v>0</v>
      </c>
      <c r="BK131" s="89">
        <f t="shared" ca="1" si="104"/>
        <v>0</v>
      </c>
      <c r="BL131" s="89">
        <f t="shared" ca="1" si="104"/>
        <v>0</v>
      </c>
      <c r="BM131" s="89">
        <f t="shared" ca="1" si="104"/>
        <v>0</v>
      </c>
      <c r="BN131" s="89">
        <f t="shared" ca="1" si="104"/>
        <v>0</v>
      </c>
      <c r="BO131" s="89">
        <f t="shared" ca="1" si="104"/>
        <v>0</v>
      </c>
      <c r="BP131" s="89">
        <f t="shared" ca="1" si="104"/>
        <v>0</v>
      </c>
      <c r="BQ131" s="89">
        <f t="shared" ca="1" si="104"/>
        <v>0</v>
      </c>
      <c r="BR131" s="89">
        <f t="shared" ca="1" si="104"/>
        <v>0</v>
      </c>
      <c r="BS131" s="89">
        <f t="shared" ca="1" si="104"/>
        <v>0</v>
      </c>
      <c r="BT131" s="89">
        <f t="shared" ca="1" si="104"/>
        <v>0</v>
      </c>
      <c r="BU131" s="89">
        <f t="shared" ca="1" si="104"/>
        <v>0</v>
      </c>
    </row>
    <row r="132" spans="11:73">
      <c r="AW132" s="3"/>
    </row>
    <row r="133" spans="11:73">
      <c r="K133" s="19" t="s">
        <v>267</v>
      </c>
      <c r="L133" s="145"/>
    </row>
    <row r="134" spans="11:73">
      <c r="K134" s="137" t="s">
        <v>269</v>
      </c>
      <c r="L134" s="145"/>
      <c r="M134" s="89" cm="1">
        <f t="array" aca="1" ref="M134" ca="1">MAX(0,-SUMPRODUCT($M$118:M118,(1+$B$113)^((M$4-$M$4:M$4)/365)))</f>
        <v>3752281.0880163526</v>
      </c>
      <c r="N134" s="89" cm="1">
        <f t="array" aca="1" ref="N134" ca="1">MAX(0,-SUMPRODUCT($M$118:N118,(1+$B$113)^((N$4-$M$4:N$4)/365))-SUMPRODUCT($M$135:M135,(1+$B$113)^((N$4-$M$4:M$4)/365)))</f>
        <v>4021259.786752319</v>
      </c>
      <c r="O134" s="89" cm="1">
        <f t="array" aca="1" ref="O134" ca="1">MAX(0,-SUMPRODUCT($M$118:O118,(1+$B$113)^((O$4-$M$4:O$4)/365))-SUMPRODUCT($M$135:N135,(1+$B$113)^((O$4-$M$4:N$4)/365)))</f>
        <v>4523089.8750588931</v>
      </c>
      <c r="P134" s="89" cm="1">
        <f t="array" aca="1" ref="P134" ca="1">MAX(0,-SUMPRODUCT($M$118:P118,(1+$B$113)^((P$4-$M$4:P$4)/365))-SUMPRODUCT($M$135:O135,(1+$B$113)^((P$4-$M$4:O$4)/365)))</f>
        <v>5254420.2487165285</v>
      </c>
      <c r="Q134" s="89" cm="1">
        <f t="array" aca="1" ref="Q134" ca="1">MAX(0,-SUMPRODUCT($M$118:Q118,(1+$B$113)^((Q$4-$M$4:Q$4)/365))-SUMPRODUCT($M$135:P135,(1+$B$113)^((Q$4-$M$4:P$4)/365)))</f>
        <v>6186244.5653068647</v>
      </c>
      <c r="R134" s="89" cm="1">
        <f t="array" aca="1" ref="R134" ca="1">MAX(0,-SUMPRODUCT($M$118:R118,(1+$B$113)^((R$4-$M$4:R$4)/365))-SUMPRODUCT($M$135:Q135,(1+$B$113)^((R$4-$M$4:Q$4)/365)))</f>
        <v>7291518.886813988</v>
      </c>
      <c r="S134" s="89" cm="1">
        <f t="array" aca="1" ref="S134" ca="1">MAX(0,-SUMPRODUCT($M$118:S118,(1+$B$113)^((S$4-$M$4:S$4)/365))-SUMPRODUCT($M$135:R135,(1+$B$113)^((S$4-$M$4:R$4)/365)))</f>
        <v>8113053.007050734</v>
      </c>
      <c r="T134" s="89" cm="1">
        <f t="array" aca="1" ref="T134" ca="1">MAX(0,-SUMPRODUCT($M$118:T118,(1+$B$113)^((T$4-$M$4:T$4)/365))-SUMPRODUCT($M$135:S135,(1+$B$113)^((T$4-$M$4:S$4)/365)))</f>
        <v>8209930.3457333175</v>
      </c>
      <c r="U134" s="89" cm="1">
        <f t="array" aca="1" ref="U134" ca="1">MAX(0,-SUMPRODUCT($M$118:U118,(1+$B$113)^((U$4-$M$4:U$4)/365))-SUMPRODUCT($M$135:T135,(1+$B$113)^((U$4-$M$4:T$4)/365)))</f>
        <v>8307964.489226874</v>
      </c>
      <c r="V134" s="89" cm="1">
        <f t="array" aca="1" ref="V134" ca="1">MAX(0,-SUMPRODUCT($M$118:V118,(1+$B$113)^((V$4-$M$4:V$4)/365))-SUMPRODUCT($M$135:U135,(1+$B$113)^((V$4-$M$4:U$4)/365)))</f>
        <v>8403950.6827020347</v>
      </c>
      <c r="W134" s="89" cm="1">
        <f t="array" aca="1" ref="W134" ca="1">MAX(0,-SUMPRODUCT($M$118:W118,(1+$B$113)^((W$4-$M$4:W$4)/365))-SUMPRODUCT($M$135:V135,(1+$B$113)^((W$4-$M$4:V$4)/365)))</f>
        <v>8504301.6080383193</v>
      </c>
      <c r="X134" s="89" cm="1">
        <f t="array" aca="1" ref="X134" ca="1">MAX(0,-SUMPRODUCT($M$118:X118,(1+$B$113)^((X$4-$M$4:X$4)/365))-SUMPRODUCT($M$135:W135,(1+$B$113)^((X$4-$M$4:W$4)/365)))</f>
        <v>8602556.1853874139</v>
      </c>
      <c r="Y134" s="89" cm="1">
        <f t="array" aca="1" ref="Y134" ca="1">MAX(0,-SUMPRODUCT($M$118:Y118,(1+$B$113)^((Y$4-$M$4:Y$4)/365))-SUMPRODUCT($M$135:X135,(1+$B$113)^((Y$4-$M$4:X$4)/365)))</f>
        <v>8705278.6436757389</v>
      </c>
      <c r="Z134" s="89" cm="1">
        <f t="array" aca="1" ref="Z134" ca="1">MAX(0,-SUMPRODUCT($M$118:Z118,(1+$B$113)^((Z$4-$M$4:Z$4)/365))-SUMPRODUCT($M$135:Y135,(1+$B$113)^((Z$4-$M$4:Y$4)/365)))</f>
        <v>8809227.7028963231</v>
      </c>
      <c r="AA134" s="89" cm="1">
        <f t="array" aca="1" ref="AA134" ca="1">MAX(0,-SUMPRODUCT($M$118:AA118,(1+$B$113)^((AA$4-$M$4:AA$4)/365))-SUMPRODUCT($M$135:Z135,(1+$B$113)^((AA$4-$M$4:Z$4)/365)))</f>
        <v>8907593.793727681</v>
      </c>
      <c r="AB134" s="89" cm="1">
        <f t="array" aca="1" ref="AB134" ca="1">MAX(0,-SUMPRODUCT($M$118:AB118,(1+$B$113)^((AB$4-$M$4:AB$4)/365))-SUMPRODUCT($M$135:AA135,(1+$B$113)^((AB$4-$M$4:AA$4)/365)))</f>
        <v>9013958.6825126931</v>
      </c>
      <c r="AC134" s="89" cm="1">
        <f t="array" aca="1" ref="AC134" ca="1">MAX(0,-SUMPRODUCT($M$118:AC118,(1+$B$113)^((AC$4-$M$4:AC$4)/365))-SUMPRODUCT($M$135:AB135,(1+$B$113)^((AC$4-$M$4:AB$4)/365)))</f>
        <v>9137730.1620144397</v>
      </c>
      <c r="AD134" s="89" cm="1">
        <f t="array" aca="1" ref="AD134" ca="1">MAX(0,-SUMPRODUCT($M$118:AD118,(1+$B$113)^((AD$4-$M$4:AD$4)/365))-SUMPRODUCT($M$135:AC135,(1+$B$113)^((AD$4-$M$4:AC$4)/365)))</f>
        <v>9263600.2342369184</v>
      </c>
      <c r="AE134" s="89" cm="1">
        <f t="array" aca="1" ref="AE134" ca="1">MAX(0,-SUMPRODUCT($M$118:AE118,(1+$B$113)^((AE$4-$M$4:AE$4)/365))-SUMPRODUCT($M$135:AD135,(1+$B$113)^((AE$4-$M$4:AD$4)/365)))</f>
        <v>9384513.0940422136</v>
      </c>
      <c r="AF134" s="89" cm="1">
        <f t="array" aca="1" ref="AF134" ca="1">MAX(0,-SUMPRODUCT($M$118:AF118,(1+$B$113)^((AF$4-$M$4:AF$4)/365))-SUMPRODUCT($M$135:AE135,(1+$B$113)^((AF$4-$M$4:AE$4)/365)))</f>
        <v>9490444.2678898759</v>
      </c>
      <c r="AG134" s="89" cm="1">
        <f t="array" aca="1" ref="AG134" ca="1">MAX(0,-SUMPRODUCT($M$118:AG118,(1+$B$113)^((AG$4-$M$4:AG$4)/365))-SUMPRODUCT($M$135:AF135,(1+$B$113)^((AG$4-$M$4:AF$4)/365)))</f>
        <v>9577626.0719799176</v>
      </c>
      <c r="AH134" s="89" cm="1">
        <f t="array" aca="1" ref="AH134" ca="1">MAX(0,-SUMPRODUCT($M$118:AH118,(1+$B$113)^((AH$4-$M$4:AH$4)/365))-SUMPRODUCT($M$135:AG135,(1+$B$113)^((AH$4-$M$4:AG$4)/365)))</f>
        <v>9642124.1769117955</v>
      </c>
      <c r="AI134" s="89" cm="1">
        <f t="array" aca="1" ref="AI134" ca="1">MAX(0,-SUMPRODUCT($M$118:AI118,(1+$B$113)^((AI$4-$M$4:AI$4)/365))-SUMPRODUCT($M$135:AH135,(1+$B$113)^((AI$4-$M$4:AH$4)/365)))</f>
        <v>9691088.6076395009</v>
      </c>
      <c r="AJ134" s="89" cm="1">
        <f t="array" aca="1" ref="AJ134" ca="1">MAX(0,-SUMPRODUCT($M$118:AJ118,(1+$B$113)^((AJ$4-$M$4:AJ$4)/365))-SUMPRODUCT($M$135:AI135,(1+$B$113)^((AJ$4-$M$4:AI$4)/365)))</f>
        <v>9719740.4608373474</v>
      </c>
      <c r="AK134" s="89" cm="1">
        <f t="array" aca="1" ref="AK134" ca="1">MAX(0,-SUMPRODUCT($M$118:AK118,(1+$B$113)^((AK$4-$M$4:AK$4)/365))-SUMPRODUCT($M$135:AJ135,(1+$B$113)^((AK$4-$M$4:AJ$4)/365)))</f>
        <v>9735345.9873246569</v>
      </c>
      <c r="AL134" s="89" cm="1">
        <f t="array" aca="1" ref="AL134" ca="1">MAX(0,-SUMPRODUCT($M$118:AL118,(1+$B$113)^((AL$4-$M$4:AL$4)/365))-SUMPRODUCT($M$135:AK135,(1+$B$113)^((AL$4-$M$4:AK$4)/365)))</f>
        <v>9741000.0010543298</v>
      </c>
      <c r="AM134" s="89" cm="1">
        <f t="array" aca="1" ref="AM134" ca="1">MAX(0,-SUMPRODUCT($M$118:AM118,(1+$B$113)^((AM$4-$M$4:AM$4)/365))-SUMPRODUCT($M$135:AL135,(1+$B$113)^((AM$4-$M$4:AL$4)/365)))</f>
        <v>9735404.6517830323</v>
      </c>
      <c r="AN134" s="89" cm="1">
        <f t="array" aca="1" ref="AN134" ca="1">MAX(0,-SUMPRODUCT($M$118:AN118,(1+$B$113)^((AN$4-$M$4:AN$4)/365))-SUMPRODUCT($M$135:AM135,(1+$B$113)^((AN$4-$M$4:AM$4)/365)))</f>
        <v>9741059.3660204653</v>
      </c>
      <c r="AO134" s="89" cm="1">
        <f t="array" aca="1" ref="AO134" ca="1">MAX(0,-SUMPRODUCT($M$118:AO118,(1+$B$113)^((AO$4-$M$4:AO$4)/365))-SUMPRODUCT($M$135:AN135,(1+$B$113)^((AO$4-$M$4:AN$4)/365)))</f>
        <v>9742621.4214173332</v>
      </c>
      <c r="AP134" s="89" cm="1">
        <f t="array" aca="1" ref="AP134" ca="1">MAX(0,-SUMPRODUCT($M$118:AP118,(1+$B$113)^((AP$4-$M$4:AP$4)/365))-SUMPRODUCT($M$135:AO135,(1+$B$113)^((AP$4-$M$4:AO$4)/365)))</f>
        <v>9747487.3176858518</v>
      </c>
      <c r="AQ134" s="89" cm="1">
        <f t="array" aca="1" ref="AQ134" ca="1">MAX(0,-SUMPRODUCT($M$118:AQ118,(1+$B$113)^((AQ$4-$M$4:AQ$4)/365))-SUMPRODUCT($M$135:AP135,(1+$B$113)^((AQ$4-$M$4:AP$4)/365)))</f>
        <v>9748146.4956624303</v>
      </c>
      <c r="AR134" s="89" cm="1">
        <f t="array" aca="1" ref="AR134" ca="1">MAX(0,-SUMPRODUCT($M$118:AR118,(1+$B$113)^((AR$4-$M$4:AR$4)/365))-SUMPRODUCT($M$135:AQ135,(1+$B$113)^((AR$4-$M$4:AQ$4)/365)))</f>
        <v>9752101.2235581856</v>
      </c>
      <c r="AS134" s="89" cm="1">
        <f t="array" aca="1" ref="AS134" ca="1">MAX(0,-SUMPRODUCT($M$118:AS118,(1+$B$113)^((AS$4-$M$4:AS$4)/365))-SUMPRODUCT($M$135:AR135,(1+$B$113)^((AS$4-$M$4:AR$4)/365)))</f>
        <v>9755614.6031254064</v>
      </c>
      <c r="AT134" s="89" cm="1">
        <f t="array" aca="1" ref="AT134" ca="1">MAX(0,-SUMPRODUCT($M$118:AT118,(1+$B$113)^((AT$4-$M$4:AT$4)/365))-SUMPRODUCT($M$135:AS135,(1+$B$113)^((AT$4-$M$4:AS$4)/365)))</f>
        <v>9754901.9655316137</v>
      </c>
      <c r="AU134" s="89" cm="1">
        <f t="array" aca="1" ref="AU134" ca="1">MAX(0,-SUMPRODUCT($M$118:AU118,(1+$B$113)^((AU$4-$M$4:AU$4)/365))-SUMPRODUCT($M$135:AT135,(1+$B$113)^((AU$4-$M$4:AT$4)/365)))</f>
        <v>9757471.645685045</v>
      </c>
      <c r="AV134" s="89" cm="1">
        <f t="array" aca="1" ref="AV134" ca="1">MAX(0,-SUMPRODUCT($M$118:AV118,(1+$B$113)^((AV$4-$M$4:AV$4)/365))-SUMPRODUCT($M$135:AU135,(1+$B$113)^((AV$4-$M$4:AU$4)/365)))</f>
        <v>9756291.8920320068</v>
      </c>
      <c r="AW134" s="89" cm="1">
        <f t="array" aca="1" ref="AW134" ca="1">MAX(0,-SUMPRODUCT($M$118:AW118,(1+$B$113)^((AW$4-$M$4:AW$4)/365))-SUMPRODUCT($M$135:AV135,(1+$B$113)^((AW$4-$M$4:AV$4)/365)))</f>
        <v>1815951.1098883227</v>
      </c>
      <c r="AX134" s="89" cm="1">
        <f t="array" aca="1" ref="AX134" ca="1">MAX(0,-SUMPRODUCT($M$118:AX118,(1+$B$113)^((AX$4-$M$4:AX$4)/365))-SUMPRODUCT($M$135:AW135,(1+$B$113)^((AX$4-$M$4:AW$4)/365)))</f>
        <v>4.4938456267118454E-4</v>
      </c>
      <c r="AY134" s="89" cm="1">
        <f t="array" aca="1" ref="AY134" ca="1">MAX(0,-SUMPRODUCT($M$118:AY118,(1+$B$113)^((AY$4-$M$4:AY$4)/365))-SUMPRODUCT($M$135:AX135,(1+$B$113)^((AY$4-$M$4:AX$4)/365)))</f>
        <v>4.5422627590596676E-4</v>
      </c>
      <c r="AZ134" s="89" cm="1">
        <f t="array" aca="1" ref="AZ134" ca="1">MAX(0,-SUMPRODUCT($M$118:AZ118,(1+$B$113)^((AZ$4-$M$4:AZ$4)/365))-SUMPRODUCT($M$135:AY135,(1+$B$113)^((AZ$4-$M$4:AY$4)/365)))</f>
        <v>4.596528597176075E-4</v>
      </c>
      <c r="BA134" s="89" cm="1">
        <f t="array" aca="1" ref="BA134" ca="1">MAX(0,-SUMPRODUCT($M$118:BA118,(1+$B$113)^((BA$4-$M$4:BA$4)/365))-SUMPRODUCT($M$135:AZ135,(1+$B$113)^((BA$4-$M$4:AZ$4)/365)))</f>
        <v>4.6496069990098476E-4</v>
      </c>
      <c r="BB134" s="89" cm="1">
        <f t="array" aca="1" ref="BB134" ca="1">MAX(0,-SUMPRODUCT($M$118:BB118,(1+$B$113)^((BB$4-$M$4:BB$4)/365))-SUMPRODUCT($M$135:BA135,(1+$B$113)^((BB$4-$M$4:BA$4)/365)))</f>
        <v>4.7051184810698032E-4</v>
      </c>
      <c r="BC134" s="89" cm="1">
        <f t="array" aca="1" ref="BC134" ca="1">MAX(0,-SUMPRODUCT($M$118:BC118,(1+$B$113)^((BC$4-$M$4:BC$4)/365))-SUMPRODUCT($M$135:BB135,(1+$B$113)^((BC$4-$M$4:BB$4)/365)))</f>
        <v>4.759493749588728E-4</v>
      </c>
      <c r="BD134" s="89" cm="1">
        <f t="array" aca="1" ref="BD134" ca="1">MAX(0,-SUMPRODUCT($M$118:BD118,(1+$B$113)^((BD$4-$M$4:BD$4)/365))-SUMPRODUCT($M$135:BC135,(1+$B$113)^((BD$4-$M$4:BC$4)/365)))</f>
        <v>4.8163230530917645E-4</v>
      </c>
      <c r="BE134" s="89" cm="1">
        <f t="array" aca="1" ref="BE134" ca="1">MAX(0,-SUMPRODUCT($M$118:BE118,(1+$B$113)^((BE$4-$M$4:BE$4)/365))-SUMPRODUCT($M$135:BD135,(1+$B$113)^((BE$4-$M$4:BD$4)/365)))</f>
        <v>4.8738438636064529E-4</v>
      </c>
      <c r="BF134" s="89" cm="1">
        <f t="array" aca="1" ref="BF134" ca="1">MAX(0,-SUMPRODUCT($M$118:BF118,(1+$B$113)^((BF$4-$M$4:BF$4)/365))-SUMPRODUCT($M$135:BE135,(1+$B$113)^((BF$4-$M$4:BE$4)/365)))</f>
        <v>4.9301446415483952E-4</v>
      </c>
      <c r="BG134" s="89" cm="1">
        <f t="array" aca="1" ref="BG134" ca="1">MAX(0,-SUMPRODUCT($M$118:BG118,(1+$B$113)^((BG$4-$M$4:BG$4)/365))-SUMPRODUCT($M$135:BF135,(1+$B$113)^((BG$4-$M$4:BF$4)/365)))</f>
        <v>4.9890601076185703E-4</v>
      </c>
      <c r="BH134" s="89" cm="1">
        <f t="array" aca="1" ref="BH134" ca="1">MAX(0,-SUMPRODUCT($M$118:BH118,(1+$B$113)^((BH$4-$M$4:BH$4)/365))-SUMPRODUCT($M$135:BG135,(1+$B$113)^((BH$4-$M$4:BG$4)/365)))</f>
        <v>5.0466367974877357E-4</v>
      </c>
      <c r="BI134" s="89" cm="1">
        <f t="array" aca="1" ref="BI134" ca="1">MAX(0,-SUMPRODUCT($M$118:BI118,(1+$B$113)^((BI$4-$M$4:BI$4)/365))-SUMPRODUCT($M$135:BH135,(1+$B$113)^((BI$4-$M$4:BH$4)/365)))</f>
        <v>5.1069236360490322E-4</v>
      </c>
      <c r="BJ134" s="89" cm="1">
        <f t="array" aca="1" ref="BJ134" ca="1">MAX(0,-SUMPRODUCT($M$118:BJ118,(1+$B$113)^((BJ$4-$M$4:BJ$4)/365))-SUMPRODUCT($M$135:BI135,(1+$B$113)^((BJ$4-$M$4:BI$4)/365)))</f>
        <v>5.1679415628314018E-4</v>
      </c>
      <c r="BK134" s="89" cm="1">
        <f t="array" aca="1" ref="BK134" ca="1">MAX(0,-SUMPRODUCT($M$118:BK118,(1+$B$113)^((BK$4-$M$4:BK$4)/365))-SUMPRODUCT($M$135:BJ135,(1+$B$113)^((BK$4-$M$4:BJ$4)/365)))</f>
        <v>5.2236113697290421E-4</v>
      </c>
      <c r="BL134" s="89" cm="1">
        <f t="array" aca="1" ref="BL134" ca="1">MAX(0,-SUMPRODUCT($M$118:BL118,(1+$B$113)^((BL$4-$M$4:BL$4)/365))-SUMPRODUCT($M$135:BK135,(1+$B$113)^((BL$4-$M$4:BK$4)/365)))</f>
        <v>5.2860379219055176E-4</v>
      </c>
      <c r="BM134" s="89" cm="1">
        <f t="array" aca="1" ref="BM134" ca="1">MAX(0,-SUMPRODUCT($M$118:BM118,(1+$B$113)^((BM$4-$M$4:BM$4)/365))-SUMPRODUCT($M$135:BL135,(1+$B$113)^((BM$4-$M$4:BL$4)/365)))</f>
        <v>5.3470814600586891E-4</v>
      </c>
      <c r="BN134" s="89" cm="1">
        <f t="array" aca="1" ref="BN134" ca="1">MAX(0,-SUMPRODUCT($M$118:BN118,(1+$B$113)^((BN$4-$M$4:BN$4)/365))-SUMPRODUCT($M$135:BM135,(1+$B$113)^((BN$4-$M$4:BM$4)/365)))</f>
        <v>5.4109236225485802E-4</v>
      </c>
      <c r="BO134" s="89" cm="1">
        <f t="array" aca="1" ref="BO134" ca="1">MAX(0,-SUMPRODUCT($M$118:BO118,(1+$B$113)^((BO$4-$M$4:BO$4)/365))-SUMPRODUCT($M$135:BN135,(1+$B$113)^((BO$4-$M$4:BN$4)/365)))</f>
        <v>5.4734433069825172E-4</v>
      </c>
      <c r="BP134" s="89" cm="1">
        <f t="array" aca="1" ref="BP134" ca="1">MAX(0,-SUMPRODUCT($M$118:BP118,(1+$B$113)^((BP$4-$M$4:BP$4)/365))-SUMPRODUCT($M$135:BO135,(1+$B$113)^((BP$4-$M$4:BO$4)/365)))</f>
        <v>5.5387755855917931E-4</v>
      </c>
      <c r="BQ134" s="89" cm="1">
        <f t="array" aca="1" ref="BQ134" ca="1">MAX(0,-SUMPRODUCT($M$118:BQ118,(1+$B$113)^((BQ$4-$M$4:BQ$4)/365))-SUMPRODUCT($M$135:BP135,(1+$B$113)^((BQ$4-$M$4:BP$4)/365)))</f>
        <v>5.6048901751637459E-4</v>
      </c>
      <c r="BR134" s="89" cm="1">
        <f t="array" aca="1" ref="BR134" ca="1">MAX(0,-SUMPRODUCT($M$118:BR118,(1+$B$113)^((BR$4-$M$4:BR$4)/365))-SUMPRODUCT($M$135:BQ135,(1+$B$113)^((BR$4-$M$4:BQ$4)/365)))</f>
        <v>5.6696636602282524E-4</v>
      </c>
      <c r="BS134" s="89" cm="1">
        <f t="array" aca="1" ref="BS134" ca="1">MAX(0,-SUMPRODUCT($M$118:BS118,(1+$B$113)^((BS$4-$M$4:BS$4)/365))-SUMPRODUCT($M$135:BR135,(1+$B$113)^((BS$4-$M$4:BR$4)/365)))</f>
        <v>5.7373242452740669E-4</v>
      </c>
      <c r="BT134" s="89" cm="1">
        <f t="array" aca="1" ref="BT134" ca="1">MAX(0,-SUMPRODUCT($M$118:BT118,(1+$B$113)^((BT$4-$M$4:BT$4)/365))-SUMPRODUCT($M$135:BS135,(1+$B$113)^((BT$4-$M$4:BS$4)/365)))</f>
        <v>5.8036856353282928E-4</v>
      </c>
      <c r="BU134" s="89" cm="1">
        <f t="array" aca="1" ref="BU134" ca="1">MAX(0,-SUMPRODUCT($M$118:BU118,(1+$B$113)^((BU$4-$M$4:BU$4)/365))-SUMPRODUCT($M$135:BT135,(1+$B$113)^((BU$4-$M$4:BT$4)/365)))</f>
        <v>5.8729853481054306E-4</v>
      </c>
    </row>
    <row r="135" spans="11:73">
      <c r="K135" s="137" t="s">
        <v>268</v>
      </c>
      <c r="L135" s="145" cm="1">
        <f t="array" aca="1" ref="L135" ca="1">XIRR(M118:BU118+M135:BU135,M4:BU4)</f>
        <v>0.14999999403953554</v>
      </c>
      <c r="M135" s="89">
        <f ca="1">MIN(M131*$D$113,M134)</f>
        <v>0</v>
      </c>
      <c r="N135" s="89">
        <f t="shared" ref="N135:BU135" ca="1" si="105">MIN(N131*$D$113,N134)</f>
        <v>0</v>
      </c>
      <c r="O135" s="89">
        <f t="shared" ca="1" si="105"/>
        <v>0</v>
      </c>
      <c r="P135" s="89">
        <f t="shared" ca="1" si="105"/>
        <v>0</v>
      </c>
      <c r="Q135" s="89">
        <f t="shared" ca="1" si="105"/>
        <v>0</v>
      </c>
      <c r="R135" s="89">
        <f t="shared" ca="1" si="105"/>
        <v>0</v>
      </c>
      <c r="S135" s="89">
        <f t="shared" ca="1" si="105"/>
        <v>0</v>
      </c>
      <c r="T135" s="89">
        <f t="shared" ca="1" si="105"/>
        <v>0</v>
      </c>
      <c r="U135" s="89">
        <f t="shared" ca="1" si="105"/>
        <v>0</v>
      </c>
      <c r="V135" s="89">
        <f t="shared" ca="1" si="105"/>
        <v>0</v>
      </c>
      <c r="W135" s="89">
        <f t="shared" ca="1" si="105"/>
        <v>0</v>
      </c>
      <c r="X135" s="89">
        <f t="shared" ca="1" si="105"/>
        <v>0</v>
      </c>
      <c r="Y135" s="89">
        <f t="shared" ca="1" si="105"/>
        <v>0</v>
      </c>
      <c r="Z135" s="89">
        <f t="shared" ca="1" si="105"/>
        <v>0</v>
      </c>
      <c r="AA135" s="89">
        <f t="shared" ca="1" si="105"/>
        <v>0</v>
      </c>
      <c r="AB135" s="89">
        <f t="shared" ca="1" si="105"/>
        <v>0</v>
      </c>
      <c r="AC135" s="89">
        <f t="shared" ca="1" si="105"/>
        <v>0</v>
      </c>
      <c r="AD135" s="89">
        <f t="shared" ca="1" si="105"/>
        <v>0</v>
      </c>
      <c r="AE135" s="89">
        <f t="shared" ca="1" si="105"/>
        <v>0</v>
      </c>
      <c r="AF135" s="89">
        <f t="shared" ca="1" si="105"/>
        <v>0</v>
      </c>
      <c r="AG135" s="89">
        <f t="shared" ca="1" si="105"/>
        <v>0</v>
      </c>
      <c r="AH135" s="89">
        <f t="shared" ca="1" si="105"/>
        <v>0</v>
      </c>
      <c r="AI135" s="89">
        <f t="shared" ca="1" si="105"/>
        <v>0</v>
      </c>
      <c r="AJ135" s="89">
        <f t="shared" ca="1" si="105"/>
        <v>0</v>
      </c>
      <c r="AK135" s="89">
        <f t="shared" ca="1" si="105"/>
        <v>0</v>
      </c>
      <c r="AL135" s="89">
        <f t="shared" ca="1" si="105"/>
        <v>0</v>
      </c>
      <c r="AM135" s="89">
        <f t="shared" ca="1" si="105"/>
        <v>0</v>
      </c>
      <c r="AN135" s="89">
        <f t="shared" ca="1" si="105"/>
        <v>0</v>
      </c>
      <c r="AO135" s="89">
        <f t="shared" ca="1" si="105"/>
        <v>0</v>
      </c>
      <c r="AP135" s="89">
        <f t="shared" ca="1" si="105"/>
        <v>0</v>
      </c>
      <c r="AQ135" s="89">
        <f t="shared" ca="1" si="105"/>
        <v>0</v>
      </c>
      <c r="AR135" s="89">
        <f t="shared" ca="1" si="105"/>
        <v>0</v>
      </c>
      <c r="AS135" s="89">
        <f t="shared" ca="1" si="105"/>
        <v>0</v>
      </c>
      <c r="AT135" s="89">
        <f t="shared" ca="1" si="105"/>
        <v>0</v>
      </c>
      <c r="AU135" s="89">
        <f t="shared" ca="1" si="105"/>
        <v>0</v>
      </c>
      <c r="AV135" s="89">
        <f t="shared" ca="1" si="105"/>
        <v>0</v>
      </c>
      <c r="AW135" s="89">
        <f t="shared" ca="1" si="105"/>
        <v>1815951.1098883227</v>
      </c>
      <c r="AX135" s="89">
        <f t="shared" ca="1" si="105"/>
        <v>0</v>
      </c>
      <c r="AY135" s="89">
        <f t="shared" ca="1" si="105"/>
        <v>0</v>
      </c>
      <c r="AZ135" s="89">
        <f t="shared" ca="1" si="105"/>
        <v>0</v>
      </c>
      <c r="BA135" s="89">
        <f t="shared" ca="1" si="105"/>
        <v>0</v>
      </c>
      <c r="BB135" s="89">
        <f t="shared" ca="1" si="105"/>
        <v>0</v>
      </c>
      <c r="BC135" s="89">
        <f t="shared" ca="1" si="105"/>
        <v>0</v>
      </c>
      <c r="BD135" s="89">
        <f t="shared" ca="1" si="105"/>
        <v>0</v>
      </c>
      <c r="BE135" s="89">
        <f t="shared" ca="1" si="105"/>
        <v>0</v>
      </c>
      <c r="BF135" s="89">
        <f t="shared" ca="1" si="105"/>
        <v>0</v>
      </c>
      <c r="BG135" s="89">
        <f t="shared" ca="1" si="105"/>
        <v>0</v>
      </c>
      <c r="BH135" s="89">
        <f t="shared" ca="1" si="105"/>
        <v>0</v>
      </c>
      <c r="BI135" s="89">
        <f t="shared" ca="1" si="105"/>
        <v>0</v>
      </c>
      <c r="BJ135" s="89">
        <f t="shared" ca="1" si="105"/>
        <v>0</v>
      </c>
      <c r="BK135" s="89">
        <f t="shared" ca="1" si="105"/>
        <v>0</v>
      </c>
      <c r="BL135" s="89">
        <f t="shared" ca="1" si="105"/>
        <v>0</v>
      </c>
      <c r="BM135" s="89">
        <f t="shared" ca="1" si="105"/>
        <v>0</v>
      </c>
      <c r="BN135" s="89">
        <f t="shared" ca="1" si="105"/>
        <v>0</v>
      </c>
      <c r="BO135" s="89">
        <f t="shared" ca="1" si="105"/>
        <v>0</v>
      </c>
      <c r="BP135" s="89">
        <f t="shared" ca="1" si="105"/>
        <v>0</v>
      </c>
      <c r="BQ135" s="89">
        <f t="shared" ca="1" si="105"/>
        <v>0</v>
      </c>
      <c r="BR135" s="89">
        <f t="shared" ca="1" si="105"/>
        <v>0</v>
      </c>
      <c r="BS135" s="89">
        <f t="shared" ca="1" si="105"/>
        <v>0</v>
      </c>
      <c r="BT135" s="89">
        <f t="shared" ca="1" si="105"/>
        <v>0</v>
      </c>
      <c r="BU135" s="89">
        <f t="shared" ca="1" si="105"/>
        <v>0</v>
      </c>
    </row>
    <row r="136" spans="11:73">
      <c r="K136" s="137" t="s">
        <v>260</v>
      </c>
      <c r="L136" s="145"/>
      <c r="M136" s="89">
        <f ca="1">IFERROR(M135/$D$113*$E$113,0)</f>
        <v>0</v>
      </c>
      <c r="N136" s="89">
        <f t="shared" ref="N136:BU136" ca="1" si="106">IFERROR(N135/$D$113*$E$113,0)</f>
        <v>0</v>
      </c>
      <c r="O136" s="89">
        <f t="shared" ca="1" si="106"/>
        <v>0</v>
      </c>
      <c r="P136" s="89">
        <f t="shared" ca="1" si="106"/>
        <v>0</v>
      </c>
      <c r="Q136" s="89">
        <f t="shared" ca="1" si="106"/>
        <v>0</v>
      </c>
      <c r="R136" s="89">
        <f t="shared" ca="1" si="106"/>
        <v>0</v>
      </c>
      <c r="S136" s="89">
        <f t="shared" ca="1" si="106"/>
        <v>0</v>
      </c>
      <c r="T136" s="89">
        <f t="shared" ca="1" si="106"/>
        <v>0</v>
      </c>
      <c r="U136" s="89">
        <f t="shared" ca="1" si="106"/>
        <v>0</v>
      </c>
      <c r="V136" s="89">
        <f t="shared" ca="1" si="106"/>
        <v>0</v>
      </c>
      <c r="W136" s="89">
        <f t="shared" ca="1" si="106"/>
        <v>0</v>
      </c>
      <c r="X136" s="89">
        <f t="shared" ca="1" si="106"/>
        <v>0</v>
      </c>
      <c r="Y136" s="89">
        <f t="shared" ca="1" si="106"/>
        <v>0</v>
      </c>
      <c r="Z136" s="89">
        <f t="shared" ca="1" si="106"/>
        <v>0</v>
      </c>
      <c r="AA136" s="89">
        <f t="shared" ca="1" si="106"/>
        <v>0</v>
      </c>
      <c r="AB136" s="89">
        <f t="shared" ca="1" si="106"/>
        <v>0</v>
      </c>
      <c r="AC136" s="89">
        <f t="shared" ca="1" si="106"/>
        <v>0</v>
      </c>
      <c r="AD136" s="89">
        <f t="shared" ca="1" si="106"/>
        <v>0</v>
      </c>
      <c r="AE136" s="89">
        <f t="shared" ca="1" si="106"/>
        <v>0</v>
      </c>
      <c r="AF136" s="89">
        <f t="shared" ca="1" si="106"/>
        <v>0</v>
      </c>
      <c r="AG136" s="89">
        <f t="shared" ca="1" si="106"/>
        <v>0</v>
      </c>
      <c r="AH136" s="89">
        <f t="shared" ca="1" si="106"/>
        <v>0</v>
      </c>
      <c r="AI136" s="89">
        <f t="shared" ca="1" si="106"/>
        <v>0</v>
      </c>
      <c r="AJ136" s="89">
        <f t="shared" ca="1" si="106"/>
        <v>0</v>
      </c>
      <c r="AK136" s="89">
        <f t="shared" ca="1" si="106"/>
        <v>0</v>
      </c>
      <c r="AL136" s="89">
        <f t="shared" ca="1" si="106"/>
        <v>0</v>
      </c>
      <c r="AM136" s="89">
        <f t="shared" ca="1" si="106"/>
        <v>0</v>
      </c>
      <c r="AN136" s="89">
        <f t="shared" ca="1" si="106"/>
        <v>0</v>
      </c>
      <c r="AO136" s="89">
        <f t="shared" ca="1" si="106"/>
        <v>0</v>
      </c>
      <c r="AP136" s="89">
        <f t="shared" ca="1" si="106"/>
        <v>0</v>
      </c>
      <c r="AQ136" s="89">
        <f t="shared" ca="1" si="106"/>
        <v>0</v>
      </c>
      <c r="AR136" s="89">
        <f t="shared" ca="1" si="106"/>
        <v>0</v>
      </c>
      <c r="AS136" s="89">
        <f t="shared" ca="1" si="106"/>
        <v>0</v>
      </c>
      <c r="AT136" s="89">
        <f t="shared" ca="1" si="106"/>
        <v>0</v>
      </c>
      <c r="AU136" s="89">
        <f t="shared" ca="1" si="106"/>
        <v>0</v>
      </c>
      <c r="AV136" s="89">
        <f t="shared" ca="1" si="106"/>
        <v>0</v>
      </c>
      <c r="AW136" s="89">
        <f t="shared" ca="1" si="106"/>
        <v>453987.77747208066</v>
      </c>
      <c r="AX136" s="89">
        <f t="shared" ca="1" si="106"/>
        <v>0</v>
      </c>
      <c r="AY136" s="89">
        <f t="shared" ca="1" si="106"/>
        <v>0</v>
      </c>
      <c r="AZ136" s="89">
        <f t="shared" ca="1" si="106"/>
        <v>0</v>
      </c>
      <c r="BA136" s="89">
        <f t="shared" ca="1" si="106"/>
        <v>0</v>
      </c>
      <c r="BB136" s="89">
        <f t="shared" ca="1" si="106"/>
        <v>0</v>
      </c>
      <c r="BC136" s="89">
        <f t="shared" ca="1" si="106"/>
        <v>0</v>
      </c>
      <c r="BD136" s="89">
        <f t="shared" ca="1" si="106"/>
        <v>0</v>
      </c>
      <c r="BE136" s="89">
        <f t="shared" ca="1" si="106"/>
        <v>0</v>
      </c>
      <c r="BF136" s="89">
        <f t="shared" ca="1" si="106"/>
        <v>0</v>
      </c>
      <c r="BG136" s="89">
        <f t="shared" ca="1" si="106"/>
        <v>0</v>
      </c>
      <c r="BH136" s="89">
        <f t="shared" ca="1" si="106"/>
        <v>0</v>
      </c>
      <c r="BI136" s="89">
        <f t="shared" ca="1" si="106"/>
        <v>0</v>
      </c>
      <c r="BJ136" s="89">
        <f t="shared" ca="1" si="106"/>
        <v>0</v>
      </c>
      <c r="BK136" s="89">
        <f t="shared" ca="1" si="106"/>
        <v>0</v>
      </c>
      <c r="BL136" s="89">
        <f t="shared" ca="1" si="106"/>
        <v>0</v>
      </c>
      <c r="BM136" s="89">
        <f t="shared" ca="1" si="106"/>
        <v>0</v>
      </c>
      <c r="BN136" s="89">
        <f t="shared" ca="1" si="106"/>
        <v>0</v>
      </c>
      <c r="BO136" s="89">
        <f t="shared" ca="1" si="106"/>
        <v>0</v>
      </c>
      <c r="BP136" s="89">
        <f t="shared" ca="1" si="106"/>
        <v>0</v>
      </c>
      <c r="BQ136" s="89">
        <f t="shared" ca="1" si="106"/>
        <v>0</v>
      </c>
      <c r="BR136" s="89">
        <f t="shared" ca="1" si="106"/>
        <v>0</v>
      </c>
      <c r="BS136" s="89">
        <f t="shared" ca="1" si="106"/>
        <v>0</v>
      </c>
      <c r="BT136" s="89">
        <f t="shared" ca="1" si="106"/>
        <v>0</v>
      </c>
      <c r="BU136" s="89">
        <f t="shared" ca="1" si="106"/>
        <v>0</v>
      </c>
    </row>
    <row r="137" spans="11:73">
      <c r="K137" s="137" t="s">
        <v>262</v>
      </c>
      <c r="M137" s="144">
        <f ca="1">MAX(0,M131-M135-M136)</f>
        <v>0</v>
      </c>
      <c r="N137" s="144">
        <f t="shared" ref="N137:BU137" ca="1" si="107">MAX(0,N131-N135-N136)</f>
        <v>0</v>
      </c>
      <c r="O137" s="144">
        <f t="shared" ca="1" si="107"/>
        <v>0</v>
      </c>
      <c r="P137" s="144">
        <f t="shared" ca="1" si="107"/>
        <v>0</v>
      </c>
      <c r="Q137" s="144">
        <f t="shared" ca="1" si="107"/>
        <v>0</v>
      </c>
      <c r="R137" s="144">
        <f t="shared" ca="1" si="107"/>
        <v>0</v>
      </c>
      <c r="S137" s="144">
        <f t="shared" ca="1" si="107"/>
        <v>0</v>
      </c>
      <c r="T137" s="144">
        <f t="shared" ca="1" si="107"/>
        <v>0</v>
      </c>
      <c r="U137" s="144">
        <f t="shared" ca="1" si="107"/>
        <v>0</v>
      </c>
      <c r="V137" s="144">
        <f t="shared" ca="1" si="107"/>
        <v>0</v>
      </c>
      <c r="W137" s="144">
        <f t="shared" ca="1" si="107"/>
        <v>0</v>
      </c>
      <c r="X137" s="144">
        <f t="shared" ca="1" si="107"/>
        <v>0</v>
      </c>
      <c r="Y137" s="144">
        <f t="shared" ca="1" si="107"/>
        <v>0</v>
      </c>
      <c r="Z137" s="144">
        <f t="shared" ca="1" si="107"/>
        <v>0</v>
      </c>
      <c r="AA137" s="144">
        <f t="shared" ca="1" si="107"/>
        <v>0</v>
      </c>
      <c r="AB137" s="144">
        <f t="shared" ca="1" si="107"/>
        <v>0</v>
      </c>
      <c r="AC137" s="144">
        <f t="shared" ca="1" si="107"/>
        <v>0</v>
      </c>
      <c r="AD137" s="144">
        <f t="shared" ca="1" si="107"/>
        <v>0</v>
      </c>
      <c r="AE137" s="144">
        <f t="shared" ca="1" si="107"/>
        <v>0</v>
      </c>
      <c r="AF137" s="144">
        <f t="shared" ca="1" si="107"/>
        <v>0</v>
      </c>
      <c r="AG137" s="144">
        <f t="shared" ca="1" si="107"/>
        <v>0</v>
      </c>
      <c r="AH137" s="144">
        <f t="shared" ca="1" si="107"/>
        <v>0</v>
      </c>
      <c r="AI137" s="144">
        <f t="shared" ca="1" si="107"/>
        <v>0</v>
      </c>
      <c r="AJ137" s="144">
        <f t="shared" ca="1" si="107"/>
        <v>0</v>
      </c>
      <c r="AK137" s="144">
        <f t="shared" ca="1" si="107"/>
        <v>0</v>
      </c>
      <c r="AL137" s="144">
        <f t="shared" ca="1" si="107"/>
        <v>0</v>
      </c>
      <c r="AM137" s="144">
        <f t="shared" ca="1" si="107"/>
        <v>0</v>
      </c>
      <c r="AN137" s="144">
        <f t="shared" ca="1" si="107"/>
        <v>0</v>
      </c>
      <c r="AO137" s="144">
        <f t="shared" ca="1" si="107"/>
        <v>0</v>
      </c>
      <c r="AP137" s="144">
        <f t="shared" ca="1" si="107"/>
        <v>0</v>
      </c>
      <c r="AQ137" s="144">
        <f t="shared" ca="1" si="107"/>
        <v>0</v>
      </c>
      <c r="AR137" s="144">
        <f t="shared" ca="1" si="107"/>
        <v>0</v>
      </c>
      <c r="AS137" s="144">
        <f t="shared" ca="1" si="107"/>
        <v>0</v>
      </c>
      <c r="AT137" s="144">
        <f t="shared" ca="1" si="107"/>
        <v>0</v>
      </c>
      <c r="AU137" s="144">
        <f t="shared" ca="1" si="107"/>
        <v>0</v>
      </c>
      <c r="AV137" s="144">
        <f t="shared" ca="1" si="107"/>
        <v>0</v>
      </c>
      <c r="AW137" s="144">
        <f t="shared" ca="1" si="107"/>
        <v>2351404.9074923433</v>
      </c>
      <c r="AX137" s="144">
        <f t="shared" ca="1" si="107"/>
        <v>0</v>
      </c>
      <c r="AY137" s="144">
        <f t="shared" ca="1" si="107"/>
        <v>0</v>
      </c>
      <c r="AZ137" s="144">
        <f t="shared" ca="1" si="107"/>
        <v>0</v>
      </c>
      <c r="BA137" s="144">
        <f t="shared" ca="1" si="107"/>
        <v>0</v>
      </c>
      <c r="BB137" s="144">
        <f t="shared" ca="1" si="107"/>
        <v>0</v>
      </c>
      <c r="BC137" s="144">
        <f t="shared" ca="1" si="107"/>
        <v>0</v>
      </c>
      <c r="BD137" s="144">
        <f t="shared" ca="1" si="107"/>
        <v>0</v>
      </c>
      <c r="BE137" s="144">
        <f t="shared" ca="1" si="107"/>
        <v>0</v>
      </c>
      <c r="BF137" s="144">
        <f t="shared" ca="1" si="107"/>
        <v>0</v>
      </c>
      <c r="BG137" s="144">
        <f t="shared" ca="1" si="107"/>
        <v>0</v>
      </c>
      <c r="BH137" s="144">
        <f t="shared" ca="1" si="107"/>
        <v>0</v>
      </c>
      <c r="BI137" s="144">
        <f t="shared" ca="1" si="107"/>
        <v>0</v>
      </c>
      <c r="BJ137" s="144">
        <f t="shared" ca="1" si="107"/>
        <v>0</v>
      </c>
      <c r="BK137" s="144">
        <f t="shared" ca="1" si="107"/>
        <v>0</v>
      </c>
      <c r="BL137" s="144">
        <f t="shared" ca="1" si="107"/>
        <v>0</v>
      </c>
      <c r="BM137" s="144">
        <f t="shared" ca="1" si="107"/>
        <v>0</v>
      </c>
      <c r="BN137" s="144">
        <f t="shared" ca="1" si="107"/>
        <v>0</v>
      </c>
      <c r="BO137" s="144">
        <f t="shared" ca="1" si="107"/>
        <v>0</v>
      </c>
      <c r="BP137" s="144">
        <f t="shared" ca="1" si="107"/>
        <v>0</v>
      </c>
      <c r="BQ137" s="144">
        <f t="shared" ca="1" si="107"/>
        <v>0</v>
      </c>
      <c r="BR137" s="144">
        <f t="shared" ca="1" si="107"/>
        <v>0</v>
      </c>
      <c r="BS137" s="144">
        <f t="shared" ca="1" si="107"/>
        <v>0</v>
      </c>
      <c r="BT137" s="144">
        <f t="shared" ca="1" si="107"/>
        <v>0</v>
      </c>
      <c r="BU137" s="144">
        <f t="shared" ca="1" si="107"/>
        <v>0</v>
      </c>
    </row>
    <row r="139" spans="11:73">
      <c r="K139" s="19" t="s">
        <v>270</v>
      </c>
      <c r="L139" s="145"/>
      <c r="M139" s="76"/>
    </row>
    <row r="140" spans="11:73">
      <c r="K140" s="137" t="s">
        <v>269</v>
      </c>
      <c r="L140" s="145"/>
      <c r="M140" s="144" cm="1">
        <f t="array" aca="1" ref="M140" ca="1">MAX(0,-SUMPRODUCT($M$118:M118,(1+$B$114)^((M$4-$M$4:M$4)/365))-M135)</f>
        <v>3752281.0880163526</v>
      </c>
      <c r="N140" s="144" cm="1">
        <f t="array" aca="1" ref="N140" ca="1">MAX(0,-SUMPRODUCT($M$118:N118,(1+$B$114)^((N$4-$M$4:N$4)/365))-SUMPRODUCT($M$135:N135,(1+$B$114)^((N$4-$M$4:N$4)/365))-SUMPRODUCT($M$141:M141,(1+$B$114)^((N$4-$M$4:M$4)/365)))</f>
        <v>4035009.770529015</v>
      </c>
      <c r="O140" s="144" cm="1">
        <f t="array" aca="1" ref="O140" ca="1">MAX(0,-SUMPRODUCT($M$118:O118,(1+$B$114)^((O$4-$M$4:O$4)/365))-SUMPRODUCT($M$135:O135,(1+$B$114)^((O$4-$M$4:O$4)/365))-SUMPRODUCT($M$141:N141,(1+$B$114)^((O$4-$M$4:N$4)/365)))</f>
        <v>4550325.5236242535</v>
      </c>
      <c r="P140" s="144" cm="1">
        <f t="array" aca="1" ref="P140" ca="1">MAX(0,-SUMPRODUCT($M$118:P118,(1+$B$114)^((P$4-$M$4:P$4)/365))-SUMPRODUCT($M$135:P135,(1+$B$114)^((P$4-$M$4:P$4)/365))-SUMPRODUCT($M$141:O141,(1+$B$114)^((P$4-$M$4:O$4)/365)))</f>
        <v>5298655.4804385034</v>
      </c>
      <c r="Q140" s="144" cm="1">
        <f t="array" aca="1" ref="Q140" ca="1">MAX(0,-SUMPRODUCT($M$118:Q118,(1+$B$114)^((Q$4-$M$4:Q$4)/365))-SUMPRODUCT($M$135:Q135,(1+$B$114)^((Q$4-$M$4:Q$4)/365))-SUMPRODUCT($M$141:P141,(1+$B$114)^((Q$4-$M$4:P$4)/365)))</f>
        <v>6249772.808828393</v>
      </c>
      <c r="R140" s="144" cm="1">
        <f t="array" aca="1" ref="R140" ca="1">MAX(0,-SUMPRODUCT($M$118:R118,(1+$B$114)^((R$4-$M$4:R$4)/365))-SUMPRODUCT($M$135:R135,(1+$B$114)^((R$4-$M$4:R$4)/365))-SUMPRODUCT($M$141:Q141,(1+$B$114)^((R$4-$M$4:Q$4)/365)))</f>
        <v>7378707.5917890556</v>
      </c>
      <c r="S140" s="144" cm="1">
        <f t="array" aca="1" ref="S140" ca="1">MAX(0,-SUMPRODUCT($M$118:S118,(1+$B$114)^((S$4-$M$4:S$4)/365))-SUMPRODUCT($M$135:S135,(1+$B$114)^((S$4-$M$4:S$4)/365))-SUMPRODUCT($M$141:R141,(1+$B$114)^((S$4-$M$4:R$4)/365)))</f>
        <v>8227404.0677898657</v>
      </c>
      <c r="T140" s="144" cm="1">
        <f t="array" aca="1" ref="T140" ca="1">MAX(0,-SUMPRODUCT($M$118:T118,(1+$B$114)^((T$4-$M$4:T$4)/365))-SUMPRODUCT($M$135:T135,(1+$B$114)^((T$4-$M$4:T$4)/365))-SUMPRODUCT($M$141:S141,(1+$B$114)^((T$4-$M$4:S$4)/365)))</f>
        <v>8355795.6371009825</v>
      </c>
      <c r="U140" s="144" cm="1">
        <f t="array" aca="1" ref="U140" ca="1">MAX(0,-SUMPRODUCT($M$118:U118,(1+$B$114)^((U$4-$M$4:U$4)/365))-SUMPRODUCT($M$135:U135,(1+$B$114)^((U$4-$M$4:U$4)/365))-SUMPRODUCT($M$141:T141,(1+$B$114)^((U$4-$M$4:T$4)/365)))</f>
        <v>8486190.8025566842</v>
      </c>
      <c r="V140" s="144" cm="1">
        <f t="array" aca="1" ref="V140" ca="1">MAX(0,-SUMPRODUCT($M$118:V118,(1+$B$114)^((V$4-$M$4:V$4)/365))-SUMPRODUCT($M$135:V135,(1+$B$114)^((V$4-$M$4:V$4)/365))-SUMPRODUCT($M$141:U141,(1+$B$114)^((V$4-$M$4:U$4)/365)))</f>
        <v>8614316.8091341536</v>
      </c>
      <c r="W140" s="144" cm="1">
        <f t="array" aca="1" ref="W140" ca="1">MAX(0,-SUMPRODUCT($M$118:W118,(1+$B$114)^((W$4-$M$4:W$4)/365))-SUMPRODUCT($M$135:W135,(1+$B$114)^((W$4-$M$4:W$4)/365))-SUMPRODUCT($M$141:V141,(1+$B$114)^((W$4-$M$4:V$4)/365)))</f>
        <v>8748746.2895091157</v>
      </c>
      <c r="X140" s="144" cm="1">
        <f t="array" aca="1" ref="X140" ca="1">MAX(0,-SUMPRODUCT($M$118:X118,(1+$B$114)^((X$4-$M$4:X$4)/365))-SUMPRODUCT($M$135:X135,(1+$B$114)^((X$4-$M$4:X$4)/365))-SUMPRODUCT($M$141:W141,(1+$B$114)^((X$4-$M$4:W$4)/365)))</f>
        <v>8880836.4051704947</v>
      </c>
      <c r="Y140" s="144" cm="1">
        <f t="array" aca="1" ref="Y140" ca="1">MAX(0,-SUMPRODUCT($M$118:Y118,(1+$B$114)^((Y$4-$M$4:Y$4)/365))-SUMPRODUCT($M$135:Y135,(1+$B$114)^((Y$4-$M$4:Y$4)/365))-SUMPRODUCT($M$141:X141,(1+$B$114)^((Y$4-$M$4:X$4)/365)))</f>
        <v>9019425.0187186114</v>
      </c>
      <c r="Z140" s="144" cm="1">
        <f t="array" aca="1" ref="Z140" ca="1">MAX(0,-SUMPRODUCT($M$118:Z118,(1+$B$114)^((Z$4-$M$4:Z$4)/365))-SUMPRODUCT($M$135:Z135,(1+$B$114)^((Z$4-$M$4:Z$4)/365))-SUMPRODUCT($M$141:Y141,(1+$B$114)^((Z$4-$M$4:Y$4)/365)))</f>
        <v>9160176.3569166288</v>
      </c>
      <c r="AA140" s="144" cm="1">
        <f t="array" aca="1" ref="AA140" ca="1">MAX(0,-SUMPRODUCT($M$118:AA118,(1+$B$114)^((AA$4-$M$4:AA$4)/365))-SUMPRODUCT($M$135:AA135,(1+$B$114)^((AA$4-$M$4:AA$4)/365))-SUMPRODUCT($M$141:Z141,(1+$B$114)^((AA$4-$M$4:Z$4)/365)))</f>
        <v>9293834.782932315</v>
      </c>
      <c r="AB140" s="144" cm="1">
        <f t="array" aca="1" ref="AB140" ca="1">MAX(0,-SUMPRODUCT($M$118:AB118,(1+$B$114)^((AB$4-$M$4:AB$4)/365))-SUMPRODUCT($M$135:AB135,(1+$B$114)^((AB$4-$M$4:AB$4)/365))-SUMPRODUCT($M$141:AA141,(1+$B$114)^((AB$4-$M$4:AA$4)/365)))</f>
        <v>9438868.3831866719</v>
      </c>
      <c r="AC140" s="144" cm="1">
        <f t="array" aca="1" ref="AC140" ca="1">MAX(0,-SUMPRODUCT($M$118:AC118,(1+$B$114)^((AC$4-$M$4:AC$4)/365))-SUMPRODUCT($M$135:AC135,(1+$B$114)^((AC$4-$M$4:AC$4)/365))-SUMPRODUCT($M$141:AB141,(1+$B$114)^((AC$4-$M$4:AB$4)/365)))</f>
        <v>9601006.6554557756</v>
      </c>
      <c r="AD140" s="144" cm="1">
        <f t="array" aca="1" ref="AD140" ca="1">MAX(0,-SUMPRODUCT($M$118:AD118,(1+$B$114)^((AD$4-$M$4:AD$4)/365))-SUMPRODUCT($M$135:AD135,(1+$B$114)^((AD$4-$M$4:AD$4)/365))-SUMPRODUCT($M$141:AC141,(1+$B$114)^((AD$4-$M$4:AC$4)/365)))</f>
        <v>9767590.9249866158</v>
      </c>
      <c r="AE140" s="144" cm="1">
        <f t="array" aca="1" ref="AE140" ca="1">MAX(0,-SUMPRODUCT($M$118:AE118,(1+$B$114)^((AE$4-$M$4:AE$4)/365))-SUMPRODUCT($M$135:AE135,(1+$B$114)^((AE$4-$M$4:AE$4)/365))-SUMPRODUCT($M$141:AD141,(1+$B$114)^((AE$4-$M$4:AD$4)/365)))</f>
        <v>9928949.4510695636</v>
      </c>
      <c r="AF140" s="144" cm="1">
        <f t="array" aca="1" ref="AF140" ca="1">MAX(0,-SUMPRODUCT($M$118:AF118,(1+$B$114)^((AF$4-$M$4:AF$4)/365))-SUMPRODUCT($M$135:AF135,(1+$B$114)^((AF$4-$M$4:AF$4)/365))-SUMPRODUCT($M$141:AE141,(1+$B$114)^((AF$4-$M$4:AE$4)/365)))</f>
        <v>10077765.670382991</v>
      </c>
      <c r="AG140" s="144" cm="1">
        <f t="array" aca="1" ref="AG140" ca="1">MAX(0,-SUMPRODUCT($M$118:AG118,(1+$B$114)^((AG$4-$M$4:AG$4)/365))-SUMPRODUCT($M$135:AG135,(1+$B$114)^((AG$4-$M$4:AG$4)/365))-SUMPRODUCT($M$141:AF141,(1+$B$114)^((AG$4-$M$4:AF$4)/365)))</f>
        <v>10208889.934060875</v>
      </c>
      <c r="AH140" s="144" cm="1">
        <f t="array" aca="1" ref="AH140" ca="1">MAX(0,-SUMPRODUCT($M$118:AH118,(1+$B$114)^((AH$4-$M$4:AH$4)/365))-SUMPRODUCT($M$135:AH135,(1+$B$114)^((AH$4-$M$4:AH$4)/365))-SUMPRODUCT($M$141:AG141,(1+$B$114)^((AH$4-$M$4:AG$4)/365)))</f>
        <v>10316868.413330689</v>
      </c>
      <c r="AI140" s="144" cm="1">
        <f t="array" aca="1" ref="AI140" ca="1">MAX(0,-SUMPRODUCT($M$118:AI118,(1+$B$114)^((AI$4-$M$4:AI$4)/365))-SUMPRODUCT($M$135:AI135,(1+$B$114)^((AI$4-$M$4:AI$4)/365))-SUMPRODUCT($M$141:AH141,(1+$B$114)^((AI$4-$M$4:AH$4)/365)))</f>
        <v>10411695.389000714</v>
      </c>
      <c r="AJ140" s="144" cm="1">
        <f t="array" aca="1" ref="AJ140" ca="1">MAX(0,-SUMPRODUCT($M$118:AJ118,(1+$B$114)^((AJ$4-$M$4:AJ$4)/365))-SUMPRODUCT($M$135:AJ135,(1+$B$114)^((AJ$4-$M$4:AJ$4)/365))-SUMPRODUCT($M$141:AI141,(1+$B$114)^((AJ$4-$M$4:AI$4)/365)))</f>
        <v>10485578.717967892</v>
      </c>
      <c r="AK140" s="144" cm="1">
        <f t="array" aca="1" ref="AK140" ca="1">MAX(0,-SUMPRODUCT($M$118:AK118,(1+$B$114)^((AK$4-$M$4:AK$4)/365))-SUMPRODUCT($M$135:AK135,(1+$B$114)^((AK$4-$M$4:AK$4)/365))-SUMPRODUCT($M$141:AJ141,(1+$B$114)^((AK$4-$M$4:AJ$4)/365)))</f>
        <v>10548752.763714418</v>
      </c>
      <c r="AL140" s="144" cm="1">
        <f t="array" aca="1" ref="AL140" ca="1">MAX(0,-SUMPRODUCT($M$118:AL118,(1+$B$114)^((AL$4-$M$4:AL$4)/365))-SUMPRODUCT($M$135:AL135,(1+$B$114)^((AL$4-$M$4:AL$4)/365))-SUMPRODUCT($M$141:AK141,(1+$B$114)^((AL$4-$M$4:AK$4)/365)))</f>
        <v>10602774.805790985</v>
      </c>
      <c r="AM140" s="144" cm="1">
        <f t="array" aca="1" ref="AM140" ca="1">MAX(0,-SUMPRODUCT($M$118:AM118,(1+$B$114)^((AM$4-$M$4:AM$4)/365))-SUMPRODUCT($M$135:AM135,(1+$B$114)^((AM$4-$M$4:AM$4)/365))-SUMPRODUCT($M$141:AL141,(1+$B$114)^((AM$4-$M$4:AL$4)/365)))</f>
        <v>10641515.406593904</v>
      </c>
      <c r="AN140" s="144" cm="1">
        <f t="array" aca="1" ref="AN140" ca="1">MAX(0,-SUMPRODUCT($M$118:AN118,(1+$B$114)^((AN$4-$M$4:AN$4)/365))-SUMPRODUCT($M$135:AN135,(1+$B$114)^((AN$4-$M$4:AN$4)/365))-SUMPRODUCT($M$141:AM141,(1+$B$114)^((AN$4-$M$4:AM$4)/365)))</f>
        <v>10696985.042734724</v>
      </c>
      <c r="AO140" s="144" cm="1">
        <f t="array" aca="1" ref="AO140" ca="1">MAX(0,-SUMPRODUCT($M$118:AO118,(1+$B$114)^((AO$4-$M$4:AO$4)/365))-SUMPRODUCT($M$135:AO135,(1+$B$114)^((AO$4-$M$4:AO$4)/365))-SUMPRODUCT($M$141:AN141,(1+$B$114)^((AO$4-$M$4:AN$4)/365)))</f>
        <v>10747508.589534249</v>
      </c>
      <c r="AP140" s="144" cm="1">
        <f t="array" aca="1" ref="AP140" ca="1">MAX(0,-SUMPRODUCT($M$118:AP118,(1+$B$114)^((AP$4-$M$4:AP$4)/365))-SUMPRODUCT($M$135:AP135,(1+$B$114)^((AP$4-$M$4:AP$4)/365))-SUMPRODUCT($M$141:AO141,(1+$B$114)^((AP$4-$M$4:AO$4)/365)))</f>
        <v>10803757.294169702</v>
      </c>
      <c r="AQ140" s="144" cm="1">
        <f t="array" aca="1" ref="AQ140" ca="1">MAX(0,-SUMPRODUCT($M$118:AQ118,(1+$B$114)^((AQ$4-$M$4:AQ$4)/365))-SUMPRODUCT($M$135:AQ135,(1+$B$114)^((AQ$4-$M$4:AQ$4)/365))-SUMPRODUCT($M$141:AP141,(1+$B$114)^((AQ$4-$M$4:AP$4)/365)))</f>
        <v>10854915.764409902</v>
      </c>
      <c r="AR140" s="144" cm="1">
        <f t="array" aca="1" ref="AR140" ca="1">MAX(0,-SUMPRODUCT($M$118:AR118,(1+$B$114)^((AR$4-$M$4:AR$4)/365))-SUMPRODUCT($M$135:AR135,(1+$B$114)^((AR$4-$M$4:AR$4)/365))-SUMPRODUCT($M$141:AQ141,(1+$B$114)^((AR$4-$M$4:AQ$4)/365)))</f>
        <v>10911863.453387506</v>
      </c>
      <c r="AS140" s="144" cm="1">
        <f t="array" aca="1" ref="AS140" ca="1">MAX(0,-SUMPRODUCT($M$118:AS118,(1+$B$114)^((AS$4-$M$4:AS$4)/365))-SUMPRODUCT($M$135:AS135,(1+$B$114)^((AS$4-$M$4:AS$4)/365))-SUMPRODUCT($M$141:AR141,(1+$B$114)^((AS$4-$M$4:AR$4)/365)))</f>
        <v>10969211.259895558</v>
      </c>
      <c r="AT140" s="144" cm="1">
        <f t="array" aca="1" ref="AT140" ca="1">MAX(0,-SUMPRODUCT($M$118:AT118,(1+$B$114)^((AT$4-$M$4:AT$4)/365))-SUMPRODUCT($M$135:AT135,(1+$B$114)^((AT$4-$M$4:AT$4)/365))-SUMPRODUCT($M$141:AS141,(1+$B$114)^((AT$4-$M$4:AS$4)/365)))</f>
        <v>11021402.069027742</v>
      </c>
      <c r="AU140" s="144" cm="1">
        <f t="array" aca="1" ref="AU140" ca="1">MAX(0,-SUMPRODUCT($M$118:AU118,(1+$B$114)^((AU$4-$M$4:AU$4)/365))-SUMPRODUCT($M$135:AU135,(1+$B$114)^((AU$4-$M$4:AU$4)/365))-SUMPRODUCT($M$141:AT141,(1+$B$114)^((AU$4-$M$4:AT$4)/365)))</f>
        <v>11079482.121769829</v>
      </c>
      <c r="AV140" s="144" cm="1">
        <f t="array" aca="1" ref="AV140" ca="1">MAX(0,-SUMPRODUCT($M$118:AV118,(1+$B$114)^((AV$4-$M$4:AV$4)/365))-SUMPRODUCT($M$135:AV135,(1+$B$114)^((AV$4-$M$4:AV$4)/365))-SUMPRODUCT($M$141:AU141,(1+$B$114)^((AV$4-$M$4:AU$4)/365)))</f>
        <v>11132849.248409187</v>
      </c>
      <c r="AW140" s="144" cm="1">
        <f t="array" aca="1" ref="AW140" ca="1">MAX(0,-SUMPRODUCT($M$118:AW118,(1+$B$114)^((AW$4-$M$4:AW$4)/365))-SUMPRODUCT($M$135:AW135,(1+$B$114)^((AW$4-$M$4:AW$4)/365))-SUMPRODUCT($M$141:AV141,(1+$B$114)^((AW$4-$M$4:AV$4)/365)))</f>
        <v>1433790.304868741</v>
      </c>
      <c r="AX140" s="144" cm="1">
        <f t="array" aca="1" ref="AX140" ca="1">MAX(0,-SUMPRODUCT($M$118:AX118,(1+$B$114)^((AX$4-$M$4:AX$4)/365))-SUMPRODUCT($M$135:AX135,(1+$B$114)^((AX$4-$M$4:AX$4)/365))-SUMPRODUCT($M$141:AW141,(1+$B$114)^((AX$4-$M$4:AW$4)/365)))</f>
        <v>1.1031515896320343E-6</v>
      </c>
      <c r="AY140" s="144" cm="1">
        <f t="array" aca="1" ref="AY140" ca="1">MAX(0,-SUMPRODUCT($M$118:AY118,(1+$B$114)^((AY$4-$M$4:AY$4)/365))-SUMPRODUCT($M$135:AY135,(1+$B$114)^((AY$4-$M$4:AY$4)/365))-SUMPRODUCT($M$141:AX141,(1+$B$114)^((AY$4-$M$4:AX$4)/365)))</f>
        <v>1.1175870895385742E-6</v>
      </c>
      <c r="AZ140" s="144" cm="1">
        <f t="array" aca="1" ref="AZ140" ca="1">MAX(0,-SUMPRODUCT($M$118:AZ118,(1+$B$114)^((AZ$4-$M$4:AZ$4)/365))-SUMPRODUCT($M$135:AZ135,(1+$B$114)^((AZ$4-$M$4:AZ$4)/365))-SUMPRODUCT($M$141:AY141,(1+$B$114)^((AZ$4-$M$4:AY$4)/365)))</f>
        <v>1.1324882507324219E-6</v>
      </c>
      <c r="BA140" s="144" cm="1">
        <f t="array" aca="1" ref="BA140" ca="1">MAX(0,-SUMPRODUCT($M$118:BA118,(1+$B$114)^((BA$4-$M$4:BA$4)/365))-SUMPRODUCT($M$135:BA135,(1+$B$114)^((BA$4-$M$4:BA$4)/365))-SUMPRODUCT($M$141:AZ141,(1+$B$114)^((BA$4-$M$4:AZ$4)/365)))</f>
        <v>1.1550728231668472E-6</v>
      </c>
      <c r="BB140" s="144" cm="1">
        <f t="array" aca="1" ref="BB140" ca="1">MAX(0,-SUMPRODUCT($M$118:BB118,(1+$B$114)^((BB$4-$M$4:BB$4)/365))-SUMPRODUCT($M$135:BB135,(1+$B$114)^((BB$4-$M$4:BB$4)/365))-SUMPRODUCT($M$141:BA141,(1+$B$114)^((BB$4-$M$4:BA$4)/365)))</f>
        <v>1.1725351214408875E-6</v>
      </c>
      <c r="BC140" s="144" cm="1">
        <f t="array" aca="1" ref="BC140" ca="1">MAX(0,-SUMPRODUCT($M$118:BC118,(1+$B$114)^((BC$4-$M$4:BC$4)/365))-SUMPRODUCT($M$135:BC135,(1+$B$114)^((BC$4-$M$4:BC$4)/365))-SUMPRODUCT($M$141:BB141,(1+$B$114)^((BC$4-$M$4:BB$4)/365)))</f>
        <v>1.1925585567951202E-6</v>
      </c>
      <c r="BD140" s="144" cm="1">
        <f t="array" aca="1" ref="BD140" ca="1">MAX(0,-SUMPRODUCT($M$118:BD118,(1+$B$114)^((BD$4-$M$4:BD$4)/365))-SUMPRODUCT($M$135:BD135,(1+$B$114)^((BD$4-$M$4:BD$4)/365))-SUMPRODUCT($M$141:BC141,(1+$B$114)^((BD$4-$M$4:BC$4)/365)))</f>
        <v>1.2067612260580063E-6</v>
      </c>
      <c r="BE140" s="144" cm="1">
        <f t="array" aca="1" ref="BE140" ca="1">MAX(0,-SUMPRODUCT($M$118:BE118,(1+$B$114)^((BE$4-$M$4:BE$4)/365))-SUMPRODUCT($M$135:BE135,(1+$B$114)^((BE$4-$M$4:BE$4)/365))-SUMPRODUCT($M$141:BD141,(1+$B$114)^((BE$4-$M$4:BD$4)/365)))</f>
        <v>1.2288801372051239E-6</v>
      </c>
      <c r="BF140" s="144" cm="1">
        <f t="array" aca="1" ref="BF140" ca="1">MAX(0,-SUMPRODUCT($M$118:BF118,(1+$B$114)^((BF$4-$M$4:BF$4)/365))-SUMPRODUCT($M$135:BF135,(1+$B$114)^((BF$4-$M$4:BF$4)/365))-SUMPRODUCT($M$141:BE141,(1+$B$114)^((BF$4-$M$4:BE$4)/365)))</f>
        <v>1.2449454516172409E-6</v>
      </c>
      <c r="BG140" s="144" cm="1">
        <f t="array" aca="1" ref="BG140" ca="1">MAX(0,-SUMPRODUCT($M$118:BG118,(1+$B$114)^((BG$4-$M$4:BG$4)/365))-SUMPRODUCT($M$135:BG135,(1+$B$114)^((BG$4-$M$4:BG$4)/365))-SUMPRODUCT($M$141:BF141,(1+$B$114)^((BG$4-$M$4:BF$4)/365)))</f>
        <v>1.2614764273166656E-6</v>
      </c>
      <c r="BH140" s="144" cm="1">
        <f t="array" aca="1" ref="BH140" ca="1">MAX(0,-SUMPRODUCT($M$118:BH118,(1+$B$114)^((BH$4-$M$4:BH$4)/365))-SUMPRODUCT($M$135:BH135,(1+$B$114)^((BH$4-$M$4:BH$4)/365))-SUMPRODUCT($M$141:BG141,(1+$B$114)^((BH$4-$M$4:BG$4)/365)))</f>
        <v>1.287553459405899E-6</v>
      </c>
      <c r="BI140" s="144" cm="1">
        <f t="array" aca="1" ref="BI140" ca="1">MAX(0,-SUMPRODUCT($M$118:BI118,(1+$B$114)^((BI$4-$M$4:BI$4)/365))-SUMPRODUCT($M$135:BI135,(1+$B$114)^((BI$4-$M$4:BI$4)/365))-SUMPRODUCT($M$141:BH141,(1+$B$114)^((BI$4-$M$4:BH$4)/365)))</f>
        <v>1.3031531125307083E-6</v>
      </c>
      <c r="BJ140" s="144" cm="1">
        <f t="array" aca="1" ref="BJ140" ca="1">MAX(0,-SUMPRODUCT($M$118:BJ118,(1+$B$114)^((BJ$4-$M$4:BJ$4)/365))-SUMPRODUCT($M$135:BJ135,(1+$B$114)^((BJ$4-$M$4:BJ$4)/365))-SUMPRODUCT($M$141:BI141,(1+$B$114)^((BJ$4-$M$4:BI$4)/365)))</f>
        <v>1.3210810720920563E-6</v>
      </c>
      <c r="BK140" s="144" cm="1">
        <f t="array" aca="1" ref="BK140" ca="1">MAX(0,-SUMPRODUCT($M$118:BK118,(1+$B$114)^((BK$4-$M$4:BK$4)/365))-SUMPRODUCT($M$135:BK135,(1+$B$114)^((BK$4-$M$4:BK$4)/365))-SUMPRODUCT($M$141:BJ141,(1+$B$114)^((BK$4-$M$4:BJ$4)/365)))</f>
        <v>1.337612047791481E-6</v>
      </c>
      <c r="BL140" s="144" cm="1">
        <f t="array" aca="1" ref="BL140" ca="1">MAX(0,-SUMPRODUCT($M$118:BL118,(1+$B$114)^((BL$4-$M$4:BL$4)/365))-SUMPRODUCT($M$135:BL135,(1+$B$114)^((BL$4-$M$4:BL$4)/365))-SUMPRODUCT($M$141:BK141,(1+$B$114)^((BL$4-$M$4:BK$4)/365)))</f>
        <v>1.3632234185934067E-6</v>
      </c>
      <c r="BM140" s="144" cm="1">
        <f t="array" aca="1" ref="BM140" ca="1">MAX(0,-SUMPRODUCT($M$118:BM118,(1+$B$114)^((BM$4-$M$4:BM$4)/365))-SUMPRODUCT($M$135:BM135,(1+$B$114)^((BM$4-$M$4:BM$4)/365))-SUMPRODUCT($M$141:BL141,(1+$B$114)^((BM$4-$M$4:BL$4)/365)))</f>
        <v>1.3881362974643707E-6</v>
      </c>
      <c r="BN140" s="144" cm="1">
        <f t="array" aca="1" ref="BN140" ca="1">MAX(0,-SUMPRODUCT($M$118:BN118,(1+$B$114)^((BN$4-$M$4:BN$4)/365))-SUMPRODUCT($M$135:BN135,(1+$B$114)^((BN$4-$M$4:BN$4)/365))-SUMPRODUCT($M$141:BM141,(1+$B$114)^((BN$4-$M$4:BM$4)/365)))</f>
        <v>1.40373595058918E-6</v>
      </c>
      <c r="BO140" s="144" cm="1">
        <f t="array" aca="1" ref="BO140" ca="1">MAX(0,-SUMPRODUCT($M$118:BO118,(1+$B$114)^((BO$4-$M$4:BO$4)/365))-SUMPRODUCT($M$135:BO135,(1+$B$114)^((BO$4-$M$4:BO$4)/365))-SUMPRODUCT($M$141:BN141,(1+$B$114)^((BO$4-$M$4:BN$4)/365)))</f>
        <v>1.4225952327251434E-6</v>
      </c>
      <c r="BP140" s="144" cm="1">
        <f t="array" aca="1" ref="BP140" ca="1">MAX(0,-SUMPRODUCT($M$118:BP118,(1+$B$114)^((BP$4-$M$4:BP$4)/365))-SUMPRODUCT($M$135:BP135,(1+$B$114)^((BP$4-$M$4:BP$4)/365))-SUMPRODUCT($M$141:BO141,(1+$B$114)^((BP$4-$M$4:BO$4)/365)))</f>
        <v>1.4530960470438004E-6</v>
      </c>
      <c r="BQ140" s="144" cm="1">
        <f t="array" aca="1" ref="BQ140" ca="1">MAX(0,-SUMPRODUCT($M$118:BQ118,(1+$B$114)^((BQ$4-$M$4:BQ$4)/365))-SUMPRODUCT($M$135:BQ135,(1+$B$114)^((BQ$4-$M$4:BQ$4)/365))-SUMPRODUCT($M$141:BP141,(1+$B$114)^((BQ$4-$M$4:BP$4)/365)))</f>
        <v>1.4691613614559174E-6</v>
      </c>
      <c r="BR140" s="144" cm="1">
        <f t="array" aca="1" ref="BR140" ca="1">MAX(0,-SUMPRODUCT($M$118:BR118,(1+$B$114)^((BR$4-$M$4:BR$4)/365))-SUMPRODUCT($M$135:BR135,(1+$B$114)^((BR$4-$M$4:BR$4)/365))-SUMPRODUCT($M$141:BQ141,(1+$B$114)^((BR$4-$M$4:BQ$4)/365)))</f>
        <v>1.4973338693380356E-6</v>
      </c>
      <c r="BS140" s="144" cm="1">
        <f t="array" aca="1" ref="BS140" ca="1">MAX(0,-SUMPRODUCT($M$118:BS118,(1+$B$114)^((BS$4-$M$4:BS$4)/365))-SUMPRODUCT($M$135:BS135,(1+$B$114)^((BS$4-$M$4:BS$4)/365))-SUMPRODUCT($M$141:BR141,(1+$B$114)^((BS$4-$M$4:BR$4)/365)))</f>
        <v>1.5178229659795761E-6</v>
      </c>
      <c r="BT140" s="144" cm="1">
        <f t="array" aca="1" ref="BT140" ca="1">MAX(0,-SUMPRODUCT($M$118:BT118,(1+$B$114)^((BT$4-$M$4:BT$4)/365))-SUMPRODUCT($M$135:BT135,(1+$B$114)^((BT$4-$M$4:BT$4)/365))-SUMPRODUCT($M$141:BS141,(1+$B$114)^((BT$4-$M$4:BS$4)/365)))</f>
        <v>1.5334226191043854E-6</v>
      </c>
      <c r="BU140" s="144" cm="1">
        <f t="array" aca="1" ref="BU140" ca="1">MAX(0,-SUMPRODUCT($M$118:BU118,(1+$B$114)^((BU$4-$M$4:BU$4)/365))-SUMPRODUCT($M$135:BU135,(1+$B$114)^((BU$4-$M$4:BU$4)/365))-SUMPRODUCT($M$141:BT141,(1+$B$114)^((BU$4-$M$4:BT$4)/365)))</f>
        <v>1.5718396753072739E-6</v>
      </c>
    </row>
    <row r="141" spans="11:73">
      <c r="K141" s="137" t="s">
        <v>268</v>
      </c>
      <c r="L141" s="145" cm="1">
        <f t="array" aca="1" ref="L141" ca="1">_xlfn.LET(_xlpm.CF,M118:BU118+M135:BU135+M141:BU141,XIRR(_xlpm.CF,M4:BU4))</f>
        <v>0.19999999403953553</v>
      </c>
      <c r="M141" s="89">
        <f ca="1">MIN(M137*$D$114,M140)</f>
        <v>0</v>
      </c>
      <c r="N141" s="89">
        <f t="shared" ref="N141:BU141" ca="1" si="108">MIN(N137*$D$114,N140)</f>
        <v>0</v>
      </c>
      <c r="O141" s="89">
        <f t="shared" ca="1" si="108"/>
        <v>0</v>
      </c>
      <c r="P141" s="89">
        <f t="shared" ca="1" si="108"/>
        <v>0</v>
      </c>
      <c r="Q141" s="89">
        <f t="shared" ca="1" si="108"/>
        <v>0</v>
      </c>
      <c r="R141" s="89">
        <f t="shared" ca="1" si="108"/>
        <v>0</v>
      </c>
      <c r="S141" s="89">
        <f t="shared" ca="1" si="108"/>
        <v>0</v>
      </c>
      <c r="T141" s="89">
        <f t="shared" ca="1" si="108"/>
        <v>0</v>
      </c>
      <c r="U141" s="89">
        <f t="shared" ca="1" si="108"/>
        <v>0</v>
      </c>
      <c r="V141" s="89">
        <f t="shared" ca="1" si="108"/>
        <v>0</v>
      </c>
      <c r="W141" s="89">
        <f t="shared" ca="1" si="108"/>
        <v>0</v>
      </c>
      <c r="X141" s="89">
        <f t="shared" ca="1" si="108"/>
        <v>0</v>
      </c>
      <c r="Y141" s="89">
        <f t="shared" ca="1" si="108"/>
        <v>0</v>
      </c>
      <c r="Z141" s="89">
        <f t="shared" ca="1" si="108"/>
        <v>0</v>
      </c>
      <c r="AA141" s="89">
        <f t="shared" ca="1" si="108"/>
        <v>0</v>
      </c>
      <c r="AB141" s="89">
        <f t="shared" ca="1" si="108"/>
        <v>0</v>
      </c>
      <c r="AC141" s="89">
        <f t="shared" ca="1" si="108"/>
        <v>0</v>
      </c>
      <c r="AD141" s="89">
        <f t="shared" ca="1" si="108"/>
        <v>0</v>
      </c>
      <c r="AE141" s="89">
        <f t="shared" ca="1" si="108"/>
        <v>0</v>
      </c>
      <c r="AF141" s="89">
        <f t="shared" ca="1" si="108"/>
        <v>0</v>
      </c>
      <c r="AG141" s="89">
        <f t="shared" ca="1" si="108"/>
        <v>0</v>
      </c>
      <c r="AH141" s="89">
        <f t="shared" ca="1" si="108"/>
        <v>0</v>
      </c>
      <c r="AI141" s="89">
        <f t="shared" ca="1" si="108"/>
        <v>0</v>
      </c>
      <c r="AJ141" s="89">
        <f t="shared" ca="1" si="108"/>
        <v>0</v>
      </c>
      <c r="AK141" s="89">
        <f t="shared" ca="1" si="108"/>
        <v>0</v>
      </c>
      <c r="AL141" s="89">
        <f t="shared" ca="1" si="108"/>
        <v>0</v>
      </c>
      <c r="AM141" s="89">
        <f t="shared" ca="1" si="108"/>
        <v>0</v>
      </c>
      <c r="AN141" s="89">
        <f t="shared" ca="1" si="108"/>
        <v>0</v>
      </c>
      <c r="AO141" s="89">
        <f t="shared" ca="1" si="108"/>
        <v>0</v>
      </c>
      <c r="AP141" s="89">
        <f t="shared" ca="1" si="108"/>
        <v>0</v>
      </c>
      <c r="AQ141" s="89">
        <f t="shared" ca="1" si="108"/>
        <v>0</v>
      </c>
      <c r="AR141" s="89">
        <f t="shared" ca="1" si="108"/>
        <v>0</v>
      </c>
      <c r="AS141" s="89">
        <f t="shared" ca="1" si="108"/>
        <v>0</v>
      </c>
      <c r="AT141" s="89">
        <f t="shared" ca="1" si="108"/>
        <v>0</v>
      </c>
      <c r="AU141" s="89">
        <f t="shared" ca="1" si="108"/>
        <v>0</v>
      </c>
      <c r="AV141" s="89">
        <f t="shared" ca="1" si="108"/>
        <v>0</v>
      </c>
      <c r="AW141" s="89">
        <f t="shared" ca="1" si="108"/>
        <v>1433790.304868741</v>
      </c>
      <c r="AX141" s="89">
        <f t="shared" ca="1" si="108"/>
        <v>0</v>
      </c>
      <c r="AY141" s="89">
        <f t="shared" ca="1" si="108"/>
        <v>0</v>
      </c>
      <c r="AZ141" s="89">
        <f t="shared" ca="1" si="108"/>
        <v>0</v>
      </c>
      <c r="BA141" s="89">
        <f t="shared" ca="1" si="108"/>
        <v>0</v>
      </c>
      <c r="BB141" s="89">
        <f t="shared" ca="1" si="108"/>
        <v>0</v>
      </c>
      <c r="BC141" s="89">
        <f t="shared" ca="1" si="108"/>
        <v>0</v>
      </c>
      <c r="BD141" s="89">
        <f t="shared" ca="1" si="108"/>
        <v>0</v>
      </c>
      <c r="BE141" s="89">
        <f t="shared" ca="1" si="108"/>
        <v>0</v>
      </c>
      <c r="BF141" s="89">
        <f t="shared" ca="1" si="108"/>
        <v>0</v>
      </c>
      <c r="BG141" s="89">
        <f t="shared" ca="1" si="108"/>
        <v>0</v>
      </c>
      <c r="BH141" s="89">
        <f t="shared" ca="1" si="108"/>
        <v>0</v>
      </c>
      <c r="BI141" s="89">
        <f t="shared" ca="1" si="108"/>
        <v>0</v>
      </c>
      <c r="BJ141" s="89">
        <f t="shared" ca="1" si="108"/>
        <v>0</v>
      </c>
      <c r="BK141" s="89">
        <f t="shared" ca="1" si="108"/>
        <v>0</v>
      </c>
      <c r="BL141" s="89">
        <f t="shared" ca="1" si="108"/>
        <v>0</v>
      </c>
      <c r="BM141" s="89">
        <f t="shared" ca="1" si="108"/>
        <v>0</v>
      </c>
      <c r="BN141" s="89">
        <f t="shared" ca="1" si="108"/>
        <v>0</v>
      </c>
      <c r="BO141" s="89">
        <f t="shared" ca="1" si="108"/>
        <v>0</v>
      </c>
      <c r="BP141" s="89">
        <f t="shared" ca="1" si="108"/>
        <v>0</v>
      </c>
      <c r="BQ141" s="89">
        <f t="shared" ca="1" si="108"/>
        <v>0</v>
      </c>
      <c r="BR141" s="89">
        <f t="shared" ca="1" si="108"/>
        <v>0</v>
      </c>
      <c r="BS141" s="89">
        <f t="shared" ca="1" si="108"/>
        <v>0</v>
      </c>
      <c r="BT141" s="89">
        <f t="shared" ca="1" si="108"/>
        <v>0</v>
      </c>
      <c r="BU141" s="89">
        <f t="shared" ca="1" si="108"/>
        <v>0</v>
      </c>
    </row>
    <row r="142" spans="11:73">
      <c r="K142" s="137" t="s">
        <v>260</v>
      </c>
      <c r="M142" s="89">
        <f ca="1">IFERROR(M141/$D$114*$E$114,0)</f>
        <v>0</v>
      </c>
      <c r="N142" s="89">
        <f t="shared" ref="N142:BU142" ca="1" si="109">IFERROR(N141/$D$114*$E$114,0)</f>
        <v>0</v>
      </c>
      <c r="O142" s="89">
        <f t="shared" ca="1" si="109"/>
        <v>0</v>
      </c>
      <c r="P142" s="89">
        <f t="shared" ca="1" si="109"/>
        <v>0</v>
      </c>
      <c r="Q142" s="89">
        <f t="shared" ca="1" si="109"/>
        <v>0</v>
      </c>
      <c r="R142" s="89">
        <f t="shared" ca="1" si="109"/>
        <v>0</v>
      </c>
      <c r="S142" s="89">
        <f t="shared" ca="1" si="109"/>
        <v>0</v>
      </c>
      <c r="T142" s="89">
        <f t="shared" ca="1" si="109"/>
        <v>0</v>
      </c>
      <c r="U142" s="89">
        <f t="shared" ca="1" si="109"/>
        <v>0</v>
      </c>
      <c r="V142" s="89">
        <f t="shared" ca="1" si="109"/>
        <v>0</v>
      </c>
      <c r="W142" s="89">
        <f t="shared" ca="1" si="109"/>
        <v>0</v>
      </c>
      <c r="X142" s="89">
        <f t="shared" ca="1" si="109"/>
        <v>0</v>
      </c>
      <c r="Y142" s="89">
        <f t="shared" ca="1" si="109"/>
        <v>0</v>
      </c>
      <c r="Z142" s="89">
        <f t="shared" ca="1" si="109"/>
        <v>0</v>
      </c>
      <c r="AA142" s="89">
        <f t="shared" ca="1" si="109"/>
        <v>0</v>
      </c>
      <c r="AB142" s="89">
        <f t="shared" ca="1" si="109"/>
        <v>0</v>
      </c>
      <c r="AC142" s="89">
        <f t="shared" ca="1" si="109"/>
        <v>0</v>
      </c>
      <c r="AD142" s="89">
        <f t="shared" ca="1" si="109"/>
        <v>0</v>
      </c>
      <c r="AE142" s="89">
        <f t="shared" ca="1" si="109"/>
        <v>0</v>
      </c>
      <c r="AF142" s="89">
        <f t="shared" ca="1" si="109"/>
        <v>0</v>
      </c>
      <c r="AG142" s="89">
        <f t="shared" ca="1" si="109"/>
        <v>0</v>
      </c>
      <c r="AH142" s="89">
        <f t="shared" ca="1" si="109"/>
        <v>0</v>
      </c>
      <c r="AI142" s="89">
        <f t="shared" ca="1" si="109"/>
        <v>0</v>
      </c>
      <c r="AJ142" s="89">
        <f t="shared" ca="1" si="109"/>
        <v>0</v>
      </c>
      <c r="AK142" s="89">
        <f t="shared" ca="1" si="109"/>
        <v>0</v>
      </c>
      <c r="AL142" s="89">
        <f t="shared" ca="1" si="109"/>
        <v>0</v>
      </c>
      <c r="AM142" s="89">
        <f t="shared" ca="1" si="109"/>
        <v>0</v>
      </c>
      <c r="AN142" s="89">
        <f t="shared" ca="1" si="109"/>
        <v>0</v>
      </c>
      <c r="AO142" s="89">
        <f t="shared" ca="1" si="109"/>
        <v>0</v>
      </c>
      <c r="AP142" s="89">
        <f t="shared" ca="1" si="109"/>
        <v>0</v>
      </c>
      <c r="AQ142" s="89">
        <f t="shared" ca="1" si="109"/>
        <v>0</v>
      </c>
      <c r="AR142" s="89">
        <f t="shared" ca="1" si="109"/>
        <v>0</v>
      </c>
      <c r="AS142" s="89">
        <f t="shared" ca="1" si="109"/>
        <v>0</v>
      </c>
      <c r="AT142" s="89">
        <f t="shared" ca="1" si="109"/>
        <v>0</v>
      </c>
      <c r="AU142" s="89">
        <f t="shared" ca="1" si="109"/>
        <v>0</v>
      </c>
      <c r="AV142" s="89">
        <f t="shared" ca="1" si="109"/>
        <v>0</v>
      </c>
      <c r="AW142" s="89">
        <f t="shared" ca="1" si="109"/>
        <v>614481.55922946043</v>
      </c>
      <c r="AX142" s="89">
        <f t="shared" ca="1" si="109"/>
        <v>0</v>
      </c>
      <c r="AY142" s="89">
        <f t="shared" ca="1" si="109"/>
        <v>0</v>
      </c>
      <c r="AZ142" s="89">
        <f t="shared" ca="1" si="109"/>
        <v>0</v>
      </c>
      <c r="BA142" s="89">
        <f t="shared" ca="1" si="109"/>
        <v>0</v>
      </c>
      <c r="BB142" s="89">
        <f t="shared" ca="1" si="109"/>
        <v>0</v>
      </c>
      <c r="BC142" s="89">
        <f t="shared" ca="1" si="109"/>
        <v>0</v>
      </c>
      <c r="BD142" s="89">
        <f t="shared" ca="1" si="109"/>
        <v>0</v>
      </c>
      <c r="BE142" s="89">
        <f t="shared" ca="1" si="109"/>
        <v>0</v>
      </c>
      <c r="BF142" s="89">
        <f t="shared" ca="1" si="109"/>
        <v>0</v>
      </c>
      <c r="BG142" s="89">
        <f t="shared" ca="1" si="109"/>
        <v>0</v>
      </c>
      <c r="BH142" s="89">
        <f t="shared" ca="1" si="109"/>
        <v>0</v>
      </c>
      <c r="BI142" s="89">
        <f t="shared" ca="1" si="109"/>
        <v>0</v>
      </c>
      <c r="BJ142" s="89">
        <f t="shared" ca="1" si="109"/>
        <v>0</v>
      </c>
      <c r="BK142" s="89">
        <f t="shared" ca="1" si="109"/>
        <v>0</v>
      </c>
      <c r="BL142" s="89">
        <f t="shared" ca="1" si="109"/>
        <v>0</v>
      </c>
      <c r="BM142" s="89">
        <f t="shared" ca="1" si="109"/>
        <v>0</v>
      </c>
      <c r="BN142" s="89">
        <f t="shared" ca="1" si="109"/>
        <v>0</v>
      </c>
      <c r="BO142" s="89">
        <f t="shared" ca="1" si="109"/>
        <v>0</v>
      </c>
      <c r="BP142" s="89">
        <f t="shared" ca="1" si="109"/>
        <v>0</v>
      </c>
      <c r="BQ142" s="89">
        <f t="shared" ca="1" si="109"/>
        <v>0</v>
      </c>
      <c r="BR142" s="89">
        <f t="shared" ca="1" si="109"/>
        <v>0</v>
      </c>
      <c r="BS142" s="89">
        <f t="shared" ca="1" si="109"/>
        <v>0</v>
      </c>
      <c r="BT142" s="89">
        <f t="shared" ca="1" si="109"/>
        <v>0</v>
      </c>
      <c r="BU142" s="89">
        <f t="shared" ca="1" si="109"/>
        <v>0</v>
      </c>
    </row>
    <row r="143" spans="11:73">
      <c r="K143" s="137" t="s">
        <v>262</v>
      </c>
      <c r="M143" s="89">
        <f ca="1">MAX(0,M137-M141-M142)</f>
        <v>0</v>
      </c>
      <c r="N143" s="89">
        <f t="shared" ref="N143:BU143" ca="1" si="110">MAX(0,N137-N141-N142)</f>
        <v>0</v>
      </c>
      <c r="O143" s="89">
        <f t="shared" ca="1" si="110"/>
        <v>0</v>
      </c>
      <c r="P143" s="89">
        <f t="shared" ca="1" si="110"/>
        <v>0</v>
      </c>
      <c r="Q143" s="89">
        <f t="shared" ca="1" si="110"/>
        <v>0</v>
      </c>
      <c r="R143" s="89">
        <f t="shared" ca="1" si="110"/>
        <v>0</v>
      </c>
      <c r="S143" s="89">
        <f t="shared" ca="1" si="110"/>
        <v>0</v>
      </c>
      <c r="T143" s="89">
        <f t="shared" ca="1" si="110"/>
        <v>0</v>
      </c>
      <c r="U143" s="89">
        <f t="shared" ca="1" si="110"/>
        <v>0</v>
      </c>
      <c r="V143" s="89">
        <f t="shared" ca="1" si="110"/>
        <v>0</v>
      </c>
      <c r="W143" s="89">
        <f t="shared" ca="1" si="110"/>
        <v>0</v>
      </c>
      <c r="X143" s="89">
        <f t="shared" ca="1" si="110"/>
        <v>0</v>
      </c>
      <c r="Y143" s="89">
        <f t="shared" ca="1" si="110"/>
        <v>0</v>
      </c>
      <c r="Z143" s="89">
        <f t="shared" ca="1" si="110"/>
        <v>0</v>
      </c>
      <c r="AA143" s="89">
        <f t="shared" ca="1" si="110"/>
        <v>0</v>
      </c>
      <c r="AB143" s="89">
        <f t="shared" ca="1" si="110"/>
        <v>0</v>
      </c>
      <c r="AC143" s="89">
        <f t="shared" ca="1" si="110"/>
        <v>0</v>
      </c>
      <c r="AD143" s="89">
        <f t="shared" ca="1" si="110"/>
        <v>0</v>
      </c>
      <c r="AE143" s="89">
        <f t="shared" ca="1" si="110"/>
        <v>0</v>
      </c>
      <c r="AF143" s="89">
        <f t="shared" ca="1" si="110"/>
        <v>0</v>
      </c>
      <c r="AG143" s="89">
        <f t="shared" ca="1" si="110"/>
        <v>0</v>
      </c>
      <c r="AH143" s="89">
        <f t="shared" ca="1" si="110"/>
        <v>0</v>
      </c>
      <c r="AI143" s="89">
        <f t="shared" ca="1" si="110"/>
        <v>0</v>
      </c>
      <c r="AJ143" s="89">
        <f t="shared" ca="1" si="110"/>
        <v>0</v>
      </c>
      <c r="AK143" s="89">
        <f t="shared" ca="1" si="110"/>
        <v>0</v>
      </c>
      <c r="AL143" s="89">
        <f t="shared" ca="1" si="110"/>
        <v>0</v>
      </c>
      <c r="AM143" s="89">
        <f t="shared" ca="1" si="110"/>
        <v>0</v>
      </c>
      <c r="AN143" s="89">
        <f t="shared" ca="1" si="110"/>
        <v>0</v>
      </c>
      <c r="AO143" s="89">
        <f t="shared" ca="1" si="110"/>
        <v>0</v>
      </c>
      <c r="AP143" s="89">
        <f t="shared" ca="1" si="110"/>
        <v>0</v>
      </c>
      <c r="AQ143" s="89">
        <f t="shared" ca="1" si="110"/>
        <v>0</v>
      </c>
      <c r="AR143" s="89">
        <f t="shared" ca="1" si="110"/>
        <v>0</v>
      </c>
      <c r="AS143" s="89">
        <f t="shared" ca="1" si="110"/>
        <v>0</v>
      </c>
      <c r="AT143" s="89">
        <f t="shared" ca="1" si="110"/>
        <v>0</v>
      </c>
      <c r="AU143" s="89">
        <f t="shared" ca="1" si="110"/>
        <v>0</v>
      </c>
      <c r="AV143" s="89">
        <f t="shared" ca="1" si="110"/>
        <v>0</v>
      </c>
      <c r="AW143" s="89">
        <f t="shared" ca="1" si="110"/>
        <v>303133.04339414195</v>
      </c>
      <c r="AX143" s="89">
        <f t="shared" ca="1" si="110"/>
        <v>0</v>
      </c>
      <c r="AY143" s="89">
        <f t="shared" ca="1" si="110"/>
        <v>0</v>
      </c>
      <c r="AZ143" s="89">
        <f t="shared" ca="1" si="110"/>
        <v>0</v>
      </c>
      <c r="BA143" s="89">
        <f t="shared" ca="1" si="110"/>
        <v>0</v>
      </c>
      <c r="BB143" s="89">
        <f t="shared" ca="1" si="110"/>
        <v>0</v>
      </c>
      <c r="BC143" s="89">
        <f t="shared" ca="1" si="110"/>
        <v>0</v>
      </c>
      <c r="BD143" s="89">
        <f t="shared" ca="1" si="110"/>
        <v>0</v>
      </c>
      <c r="BE143" s="89">
        <f t="shared" ca="1" si="110"/>
        <v>0</v>
      </c>
      <c r="BF143" s="89">
        <f t="shared" ca="1" si="110"/>
        <v>0</v>
      </c>
      <c r="BG143" s="89">
        <f t="shared" ca="1" si="110"/>
        <v>0</v>
      </c>
      <c r="BH143" s="89">
        <f t="shared" ca="1" si="110"/>
        <v>0</v>
      </c>
      <c r="BI143" s="89">
        <f t="shared" ca="1" si="110"/>
        <v>0</v>
      </c>
      <c r="BJ143" s="89">
        <f t="shared" ca="1" si="110"/>
        <v>0</v>
      </c>
      <c r="BK143" s="89">
        <f t="shared" ca="1" si="110"/>
        <v>0</v>
      </c>
      <c r="BL143" s="89">
        <f t="shared" ca="1" si="110"/>
        <v>0</v>
      </c>
      <c r="BM143" s="89">
        <f t="shared" ca="1" si="110"/>
        <v>0</v>
      </c>
      <c r="BN143" s="89">
        <f t="shared" ca="1" si="110"/>
        <v>0</v>
      </c>
      <c r="BO143" s="89">
        <f t="shared" ca="1" si="110"/>
        <v>0</v>
      </c>
      <c r="BP143" s="89">
        <f t="shared" ca="1" si="110"/>
        <v>0</v>
      </c>
      <c r="BQ143" s="89">
        <f t="shared" ca="1" si="110"/>
        <v>0</v>
      </c>
      <c r="BR143" s="89">
        <f t="shared" ca="1" si="110"/>
        <v>0</v>
      </c>
      <c r="BS143" s="89">
        <f t="shared" ca="1" si="110"/>
        <v>0</v>
      </c>
      <c r="BT143" s="89">
        <f t="shared" ca="1" si="110"/>
        <v>0</v>
      </c>
      <c r="BU143" s="89">
        <f t="shared" ca="1" si="110"/>
        <v>0</v>
      </c>
    </row>
    <row r="145" spans="11:73">
      <c r="K145" s="19" t="s">
        <v>271</v>
      </c>
    </row>
    <row r="146" spans="11:73">
      <c r="K146" s="113" t="s">
        <v>268</v>
      </c>
      <c r="M146" s="89">
        <f ca="1">M143*$D$115</f>
        <v>0</v>
      </c>
      <c r="N146" s="89">
        <f t="shared" ref="N146:BU146" ca="1" si="111">N143*$D$115</f>
        <v>0</v>
      </c>
      <c r="O146" s="89">
        <f t="shared" ca="1" si="111"/>
        <v>0</v>
      </c>
      <c r="P146" s="89">
        <f t="shared" ca="1" si="111"/>
        <v>0</v>
      </c>
      <c r="Q146" s="89">
        <f t="shared" ca="1" si="111"/>
        <v>0</v>
      </c>
      <c r="R146" s="89">
        <f t="shared" ca="1" si="111"/>
        <v>0</v>
      </c>
      <c r="S146" s="89">
        <f t="shared" ca="1" si="111"/>
        <v>0</v>
      </c>
      <c r="T146" s="89">
        <f t="shared" ca="1" si="111"/>
        <v>0</v>
      </c>
      <c r="U146" s="89">
        <f t="shared" ca="1" si="111"/>
        <v>0</v>
      </c>
      <c r="V146" s="89">
        <f t="shared" ca="1" si="111"/>
        <v>0</v>
      </c>
      <c r="W146" s="89">
        <f t="shared" ca="1" si="111"/>
        <v>0</v>
      </c>
      <c r="X146" s="89">
        <f t="shared" ca="1" si="111"/>
        <v>0</v>
      </c>
      <c r="Y146" s="89">
        <f t="shared" ca="1" si="111"/>
        <v>0</v>
      </c>
      <c r="Z146" s="89">
        <f t="shared" ca="1" si="111"/>
        <v>0</v>
      </c>
      <c r="AA146" s="89">
        <f t="shared" ca="1" si="111"/>
        <v>0</v>
      </c>
      <c r="AB146" s="89">
        <f t="shared" ca="1" si="111"/>
        <v>0</v>
      </c>
      <c r="AC146" s="89">
        <f t="shared" ca="1" si="111"/>
        <v>0</v>
      </c>
      <c r="AD146" s="89">
        <f t="shared" ca="1" si="111"/>
        <v>0</v>
      </c>
      <c r="AE146" s="89">
        <f t="shared" ca="1" si="111"/>
        <v>0</v>
      </c>
      <c r="AF146" s="89">
        <f t="shared" ca="1" si="111"/>
        <v>0</v>
      </c>
      <c r="AG146" s="89">
        <f t="shared" ca="1" si="111"/>
        <v>0</v>
      </c>
      <c r="AH146" s="89">
        <f t="shared" ca="1" si="111"/>
        <v>0</v>
      </c>
      <c r="AI146" s="89">
        <f t="shared" ca="1" si="111"/>
        <v>0</v>
      </c>
      <c r="AJ146" s="89">
        <f t="shared" ca="1" si="111"/>
        <v>0</v>
      </c>
      <c r="AK146" s="89">
        <f t="shared" ca="1" si="111"/>
        <v>0</v>
      </c>
      <c r="AL146" s="89">
        <f t="shared" ca="1" si="111"/>
        <v>0</v>
      </c>
      <c r="AM146" s="89">
        <f t="shared" ca="1" si="111"/>
        <v>0</v>
      </c>
      <c r="AN146" s="89">
        <f t="shared" ca="1" si="111"/>
        <v>0</v>
      </c>
      <c r="AO146" s="89">
        <f t="shared" ca="1" si="111"/>
        <v>0</v>
      </c>
      <c r="AP146" s="89">
        <f t="shared" ca="1" si="111"/>
        <v>0</v>
      </c>
      <c r="AQ146" s="89">
        <f t="shared" ca="1" si="111"/>
        <v>0</v>
      </c>
      <c r="AR146" s="89">
        <f t="shared" ca="1" si="111"/>
        <v>0</v>
      </c>
      <c r="AS146" s="89">
        <f t="shared" ca="1" si="111"/>
        <v>0</v>
      </c>
      <c r="AT146" s="89">
        <f t="shared" ca="1" si="111"/>
        <v>0</v>
      </c>
      <c r="AU146" s="89">
        <f t="shared" ca="1" si="111"/>
        <v>0</v>
      </c>
      <c r="AV146" s="89">
        <f t="shared" ca="1" si="111"/>
        <v>0</v>
      </c>
      <c r="AW146" s="89">
        <f t="shared" ca="1" si="111"/>
        <v>181879.82603648517</v>
      </c>
      <c r="AX146" s="89">
        <f t="shared" ca="1" si="111"/>
        <v>0</v>
      </c>
      <c r="AY146" s="89">
        <f t="shared" ca="1" si="111"/>
        <v>0</v>
      </c>
      <c r="AZ146" s="89">
        <f t="shared" ca="1" si="111"/>
        <v>0</v>
      </c>
      <c r="BA146" s="89">
        <f t="shared" ca="1" si="111"/>
        <v>0</v>
      </c>
      <c r="BB146" s="89">
        <f t="shared" ca="1" si="111"/>
        <v>0</v>
      </c>
      <c r="BC146" s="89">
        <f t="shared" ca="1" si="111"/>
        <v>0</v>
      </c>
      <c r="BD146" s="89">
        <f t="shared" ca="1" si="111"/>
        <v>0</v>
      </c>
      <c r="BE146" s="89">
        <f t="shared" ca="1" si="111"/>
        <v>0</v>
      </c>
      <c r="BF146" s="89">
        <f t="shared" ca="1" si="111"/>
        <v>0</v>
      </c>
      <c r="BG146" s="89">
        <f t="shared" ca="1" si="111"/>
        <v>0</v>
      </c>
      <c r="BH146" s="89">
        <f t="shared" ca="1" si="111"/>
        <v>0</v>
      </c>
      <c r="BI146" s="89">
        <f t="shared" ca="1" si="111"/>
        <v>0</v>
      </c>
      <c r="BJ146" s="89">
        <f t="shared" ca="1" si="111"/>
        <v>0</v>
      </c>
      <c r="BK146" s="89">
        <f t="shared" ca="1" si="111"/>
        <v>0</v>
      </c>
      <c r="BL146" s="89">
        <f t="shared" ca="1" si="111"/>
        <v>0</v>
      </c>
      <c r="BM146" s="89">
        <f t="shared" ca="1" si="111"/>
        <v>0</v>
      </c>
      <c r="BN146" s="89">
        <f t="shared" ca="1" si="111"/>
        <v>0</v>
      </c>
      <c r="BO146" s="89">
        <f t="shared" ca="1" si="111"/>
        <v>0</v>
      </c>
      <c r="BP146" s="89">
        <f t="shared" ca="1" si="111"/>
        <v>0</v>
      </c>
      <c r="BQ146" s="89">
        <f t="shared" ca="1" si="111"/>
        <v>0</v>
      </c>
      <c r="BR146" s="89">
        <f t="shared" ca="1" si="111"/>
        <v>0</v>
      </c>
      <c r="BS146" s="89">
        <f t="shared" ca="1" si="111"/>
        <v>0</v>
      </c>
      <c r="BT146" s="89">
        <f t="shared" ca="1" si="111"/>
        <v>0</v>
      </c>
      <c r="BU146" s="89">
        <f t="shared" ca="1" si="111"/>
        <v>0</v>
      </c>
    </row>
    <row r="147" spans="11:73">
      <c r="K147" s="70" t="s">
        <v>260</v>
      </c>
      <c r="M147" s="89">
        <f ca="1">M143*$E$115</f>
        <v>0</v>
      </c>
      <c r="N147" s="89">
        <f t="shared" ref="N147:BU147" ca="1" si="112">N143*$E$115</f>
        <v>0</v>
      </c>
      <c r="O147" s="89">
        <f t="shared" ca="1" si="112"/>
        <v>0</v>
      </c>
      <c r="P147" s="89">
        <f t="shared" ca="1" si="112"/>
        <v>0</v>
      </c>
      <c r="Q147" s="89">
        <f t="shared" ca="1" si="112"/>
        <v>0</v>
      </c>
      <c r="R147" s="89">
        <f t="shared" ca="1" si="112"/>
        <v>0</v>
      </c>
      <c r="S147" s="89">
        <f t="shared" ca="1" si="112"/>
        <v>0</v>
      </c>
      <c r="T147" s="89">
        <f t="shared" ca="1" si="112"/>
        <v>0</v>
      </c>
      <c r="U147" s="89">
        <f t="shared" ca="1" si="112"/>
        <v>0</v>
      </c>
      <c r="V147" s="89">
        <f t="shared" ca="1" si="112"/>
        <v>0</v>
      </c>
      <c r="W147" s="89">
        <f t="shared" ca="1" si="112"/>
        <v>0</v>
      </c>
      <c r="X147" s="89">
        <f t="shared" ca="1" si="112"/>
        <v>0</v>
      </c>
      <c r="Y147" s="89">
        <f t="shared" ca="1" si="112"/>
        <v>0</v>
      </c>
      <c r="Z147" s="89">
        <f t="shared" ca="1" si="112"/>
        <v>0</v>
      </c>
      <c r="AA147" s="89">
        <f t="shared" ca="1" si="112"/>
        <v>0</v>
      </c>
      <c r="AB147" s="89">
        <f t="shared" ca="1" si="112"/>
        <v>0</v>
      </c>
      <c r="AC147" s="89">
        <f t="shared" ca="1" si="112"/>
        <v>0</v>
      </c>
      <c r="AD147" s="89">
        <f t="shared" ca="1" si="112"/>
        <v>0</v>
      </c>
      <c r="AE147" s="89">
        <f t="shared" ca="1" si="112"/>
        <v>0</v>
      </c>
      <c r="AF147" s="89">
        <f t="shared" ca="1" si="112"/>
        <v>0</v>
      </c>
      <c r="AG147" s="89">
        <f t="shared" ca="1" si="112"/>
        <v>0</v>
      </c>
      <c r="AH147" s="89">
        <f t="shared" ca="1" si="112"/>
        <v>0</v>
      </c>
      <c r="AI147" s="89">
        <f t="shared" ca="1" si="112"/>
        <v>0</v>
      </c>
      <c r="AJ147" s="89">
        <f t="shared" ca="1" si="112"/>
        <v>0</v>
      </c>
      <c r="AK147" s="89">
        <f t="shared" ca="1" si="112"/>
        <v>0</v>
      </c>
      <c r="AL147" s="89">
        <f t="shared" ca="1" si="112"/>
        <v>0</v>
      </c>
      <c r="AM147" s="89">
        <f t="shared" ca="1" si="112"/>
        <v>0</v>
      </c>
      <c r="AN147" s="89">
        <f t="shared" ca="1" si="112"/>
        <v>0</v>
      </c>
      <c r="AO147" s="89">
        <f t="shared" ca="1" si="112"/>
        <v>0</v>
      </c>
      <c r="AP147" s="89">
        <f t="shared" ca="1" si="112"/>
        <v>0</v>
      </c>
      <c r="AQ147" s="89">
        <f t="shared" ca="1" si="112"/>
        <v>0</v>
      </c>
      <c r="AR147" s="89">
        <f t="shared" ca="1" si="112"/>
        <v>0</v>
      </c>
      <c r="AS147" s="89">
        <f t="shared" ca="1" si="112"/>
        <v>0</v>
      </c>
      <c r="AT147" s="89">
        <f t="shared" ca="1" si="112"/>
        <v>0</v>
      </c>
      <c r="AU147" s="89">
        <f t="shared" ca="1" si="112"/>
        <v>0</v>
      </c>
      <c r="AV147" s="89">
        <f t="shared" ca="1" si="112"/>
        <v>0</v>
      </c>
      <c r="AW147" s="89">
        <f t="shared" ca="1" si="112"/>
        <v>121253.21735765679</v>
      </c>
      <c r="AX147" s="89">
        <f t="shared" ca="1" si="112"/>
        <v>0</v>
      </c>
      <c r="AY147" s="89">
        <f t="shared" ca="1" si="112"/>
        <v>0</v>
      </c>
      <c r="AZ147" s="89">
        <f t="shared" ca="1" si="112"/>
        <v>0</v>
      </c>
      <c r="BA147" s="89">
        <f t="shared" ca="1" si="112"/>
        <v>0</v>
      </c>
      <c r="BB147" s="89">
        <f t="shared" ca="1" si="112"/>
        <v>0</v>
      </c>
      <c r="BC147" s="89">
        <f t="shared" ca="1" si="112"/>
        <v>0</v>
      </c>
      <c r="BD147" s="89">
        <f t="shared" ca="1" si="112"/>
        <v>0</v>
      </c>
      <c r="BE147" s="89">
        <f t="shared" ca="1" si="112"/>
        <v>0</v>
      </c>
      <c r="BF147" s="89">
        <f t="shared" ca="1" si="112"/>
        <v>0</v>
      </c>
      <c r="BG147" s="89">
        <f t="shared" ca="1" si="112"/>
        <v>0</v>
      </c>
      <c r="BH147" s="89">
        <f t="shared" ca="1" si="112"/>
        <v>0</v>
      </c>
      <c r="BI147" s="89">
        <f t="shared" ca="1" si="112"/>
        <v>0</v>
      </c>
      <c r="BJ147" s="89">
        <f t="shared" ca="1" si="112"/>
        <v>0</v>
      </c>
      <c r="BK147" s="89">
        <f t="shared" ca="1" si="112"/>
        <v>0</v>
      </c>
      <c r="BL147" s="89">
        <f t="shared" ca="1" si="112"/>
        <v>0</v>
      </c>
      <c r="BM147" s="89">
        <f t="shared" ca="1" si="112"/>
        <v>0</v>
      </c>
      <c r="BN147" s="89">
        <f t="shared" ca="1" si="112"/>
        <v>0</v>
      </c>
      <c r="BO147" s="89">
        <f t="shared" ca="1" si="112"/>
        <v>0</v>
      </c>
      <c r="BP147" s="89">
        <f t="shared" ca="1" si="112"/>
        <v>0</v>
      </c>
      <c r="BQ147" s="89">
        <f t="shared" ca="1" si="112"/>
        <v>0</v>
      </c>
      <c r="BR147" s="89">
        <f t="shared" ca="1" si="112"/>
        <v>0</v>
      </c>
      <c r="BS147" s="89">
        <f t="shared" ca="1" si="112"/>
        <v>0</v>
      </c>
      <c r="BT147" s="89">
        <f t="shared" ca="1" si="112"/>
        <v>0</v>
      </c>
      <c r="BU147" s="89">
        <f t="shared" ca="1" si="112"/>
        <v>0</v>
      </c>
    </row>
  </sheetData>
  <phoneticPr fontId="63" type="noConversion"/>
  <pageMargins left="0.7" right="0.7" top="0.75" bottom="0.75" header="0.3" footer="0.3"/>
  <ignoredErrors>
    <ignoredError sqref="M15:BU17 M90:BU90 L32:L40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D886C-6F2F-468D-ABC9-652A2A2F58F6}">
  <dimension ref="C5:P32"/>
  <sheetViews>
    <sheetView tabSelected="1" zoomScaleNormal="100" workbookViewId="0">
      <selection activeCell="H8" sqref="H8"/>
    </sheetView>
  </sheetViews>
  <sheetFormatPr defaultRowHeight="15"/>
  <cols>
    <col min="1" max="2" width="9.140625" style="70"/>
    <col min="3" max="3" width="11.5703125" style="70" bestFit="1" customWidth="1"/>
    <col min="4" max="4" width="26" style="70" bestFit="1" customWidth="1"/>
    <col min="5" max="5" width="16.5703125" style="70" bestFit="1" customWidth="1"/>
    <col min="6" max="6" width="12.7109375" style="70" bestFit="1" customWidth="1"/>
    <col min="7" max="7" width="9.140625" style="70"/>
    <col min="8" max="8" width="19.85546875" style="70" customWidth="1"/>
    <col min="9" max="9" width="21.7109375" style="70" bestFit="1" customWidth="1"/>
    <col min="10" max="10" width="15.28515625" style="70" bestFit="1" customWidth="1"/>
    <col min="11" max="11" width="18.140625" style="70" bestFit="1" customWidth="1"/>
    <col min="12" max="12" width="9.140625" style="70"/>
    <col min="13" max="13" width="18.7109375" style="70" bestFit="1" customWidth="1"/>
    <col min="14" max="15" width="16.140625" style="70" bestFit="1" customWidth="1"/>
    <col min="16" max="16" width="13.85546875" style="70" bestFit="1" customWidth="1"/>
    <col min="17" max="16384" width="9.140625" style="70"/>
  </cols>
  <sheetData>
    <row r="5" spans="3:16">
      <c r="C5" s="52" t="s">
        <v>306</v>
      </c>
      <c r="D5" s="53"/>
      <c r="E5" s="53"/>
      <c r="F5" s="54"/>
      <c r="G5" s="1"/>
      <c r="H5" s="52" t="s">
        <v>322</v>
      </c>
      <c r="I5" s="53"/>
      <c r="J5" s="53"/>
      <c r="K5" s="54"/>
      <c r="L5" s="1"/>
      <c r="M5" s="52" t="s">
        <v>274</v>
      </c>
      <c r="N5" s="53"/>
      <c r="O5" s="146"/>
      <c r="P5" s="147"/>
    </row>
    <row r="6" spans="3:16">
      <c r="C6" s="148" t="s">
        <v>11</v>
      </c>
      <c r="D6" s="149" t="s">
        <v>288</v>
      </c>
      <c r="E6" s="150" t="s">
        <v>291</v>
      </c>
      <c r="F6" s="151">
        <f>D8/D7</f>
        <v>1340425.5319148935</v>
      </c>
      <c r="H6" s="148" t="s">
        <v>11</v>
      </c>
      <c r="I6" s="152" t="s">
        <v>317</v>
      </c>
      <c r="J6" s="70" t="s">
        <v>285</v>
      </c>
      <c r="K6" s="137" t="s">
        <v>320</v>
      </c>
      <c r="M6" s="148" t="s">
        <v>11</v>
      </c>
      <c r="N6" s="149" t="s">
        <v>307</v>
      </c>
      <c r="O6" s="70" t="s">
        <v>275</v>
      </c>
      <c r="P6" s="128">
        <v>22210000</v>
      </c>
    </row>
    <row r="7" spans="3:16">
      <c r="C7" s="88" t="s">
        <v>290</v>
      </c>
      <c r="D7" s="153">
        <v>4.7</v>
      </c>
      <c r="E7" s="70" t="s">
        <v>277</v>
      </c>
      <c r="F7" s="154">
        <v>46106</v>
      </c>
      <c r="H7" s="88" t="s">
        <v>280</v>
      </c>
      <c r="I7" s="137">
        <v>2017</v>
      </c>
      <c r="J7" s="70" t="s">
        <v>279</v>
      </c>
      <c r="K7" s="155">
        <v>45831</v>
      </c>
      <c r="M7" s="88" t="s">
        <v>280</v>
      </c>
      <c r="N7" s="101">
        <v>2024</v>
      </c>
      <c r="O7" s="70" t="s">
        <v>276</v>
      </c>
      <c r="P7" s="128">
        <f>P6/N8</f>
        <v>324.42775968097692</v>
      </c>
    </row>
    <row r="8" spans="3:16">
      <c r="C8" s="93" t="s">
        <v>275</v>
      </c>
      <c r="D8" s="156">
        <v>6300000</v>
      </c>
      <c r="E8" s="94" t="s">
        <v>281</v>
      </c>
      <c r="F8" s="157" t="s">
        <v>289</v>
      </c>
      <c r="H8" s="88" t="s">
        <v>282</v>
      </c>
      <c r="I8" s="137">
        <v>20</v>
      </c>
      <c r="J8" s="70" t="s">
        <v>21</v>
      </c>
      <c r="K8" s="56">
        <v>9800</v>
      </c>
      <c r="M8" s="88" t="s">
        <v>39</v>
      </c>
      <c r="N8" s="55">
        <v>68459</v>
      </c>
      <c r="O8" s="70" t="s">
        <v>310</v>
      </c>
      <c r="P8" s="137">
        <v>1</v>
      </c>
    </row>
    <row r="9" spans="3:16">
      <c r="C9" s="148" t="s">
        <v>11</v>
      </c>
      <c r="D9" s="149" t="s">
        <v>293</v>
      </c>
      <c r="E9" s="150" t="s">
        <v>291</v>
      </c>
      <c r="F9" s="151">
        <f t="shared" ref="F9" si="0">D11/D10</f>
        <v>811320.75471698109</v>
      </c>
      <c r="H9" s="88" t="s">
        <v>284</v>
      </c>
      <c r="I9" s="137" t="s">
        <v>318</v>
      </c>
      <c r="J9" s="70" t="s">
        <v>286</v>
      </c>
      <c r="K9" s="158">
        <v>21.84</v>
      </c>
      <c r="M9" s="93" t="s">
        <v>287</v>
      </c>
      <c r="N9" s="57">
        <v>1</v>
      </c>
      <c r="O9" s="94" t="s">
        <v>277</v>
      </c>
      <c r="P9" s="159">
        <v>46000</v>
      </c>
    </row>
    <row r="10" spans="3:16">
      <c r="C10" s="88" t="s">
        <v>290</v>
      </c>
      <c r="D10" s="101">
        <v>3.18</v>
      </c>
      <c r="E10" s="70" t="s">
        <v>277</v>
      </c>
      <c r="F10" s="154">
        <v>46094</v>
      </c>
      <c r="H10" s="93" t="s">
        <v>283</v>
      </c>
      <c r="I10" s="157" t="s">
        <v>319</v>
      </c>
      <c r="J10" s="94" t="s">
        <v>20</v>
      </c>
      <c r="K10" s="157" t="s">
        <v>326</v>
      </c>
      <c r="M10" s="88" t="s">
        <v>11</v>
      </c>
      <c r="N10" s="101" t="s">
        <v>308</v>
      </c>
      <c r="O10" s="70" t="s">
        <v>275</v>
      </c>
      <c r="P10" s="128">
        <v>20750000</v>
      </c>
    </row>
    <row r="11" spans="3:16">
      <c r="C11" s="93" t="s">
        <v>275</v>
      </c>
      <c r="D11" s="156">
        <v>2580000</v>
      </c>
      <c r="E11" s="94" t="s">
        <v>281</v>
      </c>
      <c r="F11" s="157" t="s">
        <v>294</v>
      </c>
      <c r="H11" s="88" t="s">
        <v>11</v>
      </c>
      <c r="I11" s="137" t="s">
        <v>323</v>
      </c>
      <c r="J11" s="70" t="s">
        <v>285</v>
      </c>
      <c r="K11" s="137" t="s">
        <v>324</v>
      </c>
      <c r="M11" s="88" t="s">
        <v>280</v>
      </c>
      <c r="N11" s="101">
        <v>2024</v>
      </c>
      <c r="O11" s="70" t="s">
        <v>276</v>
      </c>
      <c r="P11" s="128">
        <f>P10/N12</f>
        <v>274.65618340414829</v>
      </c>
    </row>
    <row r="12" spans="3:16">
      <c r="C12" s="148" t="s">
        <v>11</v>
      </c>
      <c r="D12" s="149" t="s">
        <v>295</v>
      </c>
      <c r="E12" s="150" t="s">
        <v>291</v>
      </c>
      <c r="F12" s="151">
        <f t="shared" ref="F12" si="1">D14/D13</f>
        <v>1081677.7041942605</v>
      </c>
      <c r="H12" s="88" t="s">
        <v>280</v>
      </c>
      <c r="I12" s="137">
        <v>2024</v>
      </c>
      <c r="J12" s="70" t="s">
        <v>279</v>
      </c>
      <c r="K12" s="155">
        <v>46150</v>
      </c>
      <c r="M12" s="88" t="s">
        <v>39</v>
      </c>
      <c r="N12" s="55">
        <v>75549</v>
      </c>
      <c r="O12" s="70" t="s">
        <v>309</v>
      </c>
      <c r="P12" s="137">
        <v>3</v>
      </c>
    </row>
    <row r="13" spans="3:16">
      <c r="C13" s="88" t="s">
        <v>290</v>
      </c>
      <c r="D13" s="101">
        <v>4.53</v>
      </c>
      <c r="E13" s="70" t="s">
        <v>277</v>
      </c>
      <c r="F13" s="154">
        <v>46122</v>
      </c>
      <c r="H13" s="88" t="s">
        <v>282</v>
      </c>
      <c r="I13" s="137">
        <v>28</v>
      </c>
      <c r="J13" s="70" t="s">
        <v>21</v>
      </c>
      <c r="K13" s="56">
        <v>9757</v>
      </c>
      <c r="M13" s="93" t="s">
        <v>287</v>
      </c>
      <c r="N13" s="57">
        <v>1</v>
      </c>
      <c r="O13" s="94" t="s">
        <v>277</v>
      </c>
      <c r="P13" s="159">
        <v>46143</v>
      </c>
    </row>
    <row r="14" spans="3:16">
      <c r="C14" s="93" t="s">
        <v>275</v>
      </c>
      <c r="D14" s="156">
        <v>4900000</v>
      </c>
      <c r="E14" s="94" t="s">
        <v>281</v>
      </c>
      <c r="F14" s="157" t="s">
        <v>296</v>
      </c>
      <c r="H14" s="88" t="s">
        <v>284</v>
      </c>
      <c r="I14" s="137" t="s">
        <v>318</v>
      </c>
      <c r="J14" s="70" t="s">
        <v>286</v>
      </c>
      <c r="K14" s="158">
        <v>19.920000000000002</v>
      </c>
      <c r="M14" s="88" t="s">
        <v>11</v>
      </c>
      <c r="N14" s="101" t="s">
        <v>311</v>
      </c>
      <c r="O14" s="70" t="s">
        <v>275</v>
      </c>
      <c r="P14" s="128">
        <v>25000000</v>
      </c>
    </row>
    <row r="15" spans="3:16">
      <c r="C15" s="148" t="s">
        <v>11</v>
      </c>
      <c r="D15" s="152" t="s">
        <v>297</v>
      </c>
      <c r="E15" s="150" t="s">
        <v>291</v>
      </c>
      <c r="F15" s="151">
        <f t="shared" ref="F15" si="2">D17/D16</f>
        <v>638000</v>
      </c>
      <c r="H15" s="93" t="s">
        <v>283</v>
      </c>
      <c r="I15" s="157" t="s">
        <v>278</v>
      </c>
      <c r="J15" s="94" t="s">
        <v>321</v>
      </c>
      <c r="K15" s="157" t="s">
        <v>325</v>
      </c>
      <c r="M15" s="88" t="s">
        <v>280</v>
      </c>
      <c r="N15" s="101">
        <v>2024</v>
      </c>
      <c r="O15" s="70" t="s">
        <v>276</v>
      </c>
      <c r="P15" s="128">
        <f>P14/N16</f>
        <v>251.26133188606806</v>
      </c>
    </row>
    <row r="16" spans="3:16">
      <c r="C16" s="88" t="s">
        <v>290</v>
      </c>
      <c r="D16" s="101">
        <v>10</v>
      </c>
      <c r="E16" s="70" t="s">
        <v>277</v>
      </c>
      <c r="F16" s="154">
        <v>45853</v>
      </c>
      <c r="H16" s="88" t="s">
        <v>11</v>
      </c>
      <c r="I16" s="137" t="s">
        <v>327</v>
      </c>
      <c r="J16" s="70" t="s">
        <v>285</v>
      </c>
      <c r="K16" s="137" t="s">
        <v>328</v>
      </c>
      <c r="M16" s="88" t="s">
        <v>39</v>
      </c>
      <c r="N16" s="55">
        <v>99498</v>
      </c>
      <c r="O16" s="70" t="s">
        <v>310</v>
      </c>
      <c r="P16" s="137">
        <v>1</v>
      </c>
    </row>
    <row r="17" spans="3:16">
      <c r="C17" s="93" t="s">
        <v>275</v>
      </c>
      <c r="D17" s="156">
        <v>6380000</v>
      </c>
      <c r="E17" s="94" t="s">
        <v>281</v>
      </c>
      <c r="F17" s="157" t="s">
        <v>298</v>
      </c>
      <c r="H17" s="88" t="s">
        <v>280</v>
      </c>
      <c r="I17" s="137">
        <v>1980</v>
      </c>
      <c r="J17" s="70" t="s">
        <v>279</v>
      </c>
      <c r="K17" s="155">
        <v>45854</v>
      </c>
      <c r="M17" s="93" t="s">
        <v>287</v>
      </c>
      <c r="N17" s="57">
        <v>1</v>
      </c>
      <c r="O17" s="94" t="s">
        <v>277</v>
      </c>
      <c r="P17" s="159">
        <v>45792</v>
      </c>
    </row>
    <row r="18" spans="3:16">
      <c r="C18" s="148" t="s">
        <v>11</v>
      </c>
      <c r="D18" s="152" t="s">
        <v>299</v>
      </c>
      <c r="E18" s="150" t="s">
        <v>291</v>
      </c>
      <c r="F18" s="151">
        <f t="shared" ref="F18" si="3">D20/D19</f>
        <v>833333.33333333337</v>
      </c>
      <c r="H18" s="88" t="s">
        <v>282</v>
      </c>
      <c r="I18" s="137">
        <v>19</v>
      </c>
      <c r="J18" s="70" t="s">
        <v>21</v>
      </c>
      <c r="K18" s="56">
        <v>22322</v>
      </c>
      <c r="M18" s="88" t="s">
        <v>11</v>
      </c>
      <c r="N18" s="101" t="s">
        <v>312</v>
      </c>
      <c r="O18" s="70" t="s">
        <v>275</v>
      </c>
      <c r="P18" s="128">
        <v>15790000</v>
      </c>
    </row>
    <row r="19" spans="3:16">
      <c r="C19" s="88" t="s">
        <v>290</v>
      </c>
      <c r="D19" s="101">
        <v>7.5</v>
      </c>
      <c r="E19" s="70" t="s">
        <v>277</v>
      </c>
      <c r="F19" s="154">
        <v>45992</v>
      </c>
      <c r="H19" s="88" t="s">
        <v>284</v>
      </c>
      <c r="I19" s="137" t="s">
        <v>318</v>
      </c>
      <c r="J19" s="70" t="s">
        <v>286</v>
      </c>
      <c r="K19" s="158">
        <v>19.8</v>
      </c>
      <c r="M19" s="88" t="s">
        <v>280</v>
      </c>
      <c r="N19" s="101">
        <v>2019</v>
      </c>
      <c r="O19" s="70" t="s">
        <v>276</v>
      </c>
      <c r="P19" s="128">
        <f>P18/N20</f>
        <v>191.21315604640461</v>
      </c>
    </row>
    <row r="20" spans="3:16">
      <c r="C20" s="93" t="s">
        <v>275</v>
      </c>
      <c r="D20" s="156">
        <v>6250000</v>
      </c>
      <c r="E20" s="94" t="s">
        <v>281</v>
      </c>
      <c r="F20" s="157" t="s">
        <v>292</v>
      </c>
      <c r="H20" s="93" t="s">
        <v>283</v>
      </c>
      <c r="I20" s="157" t="s">
        <v>278</v>
      </c>
      <c r="J20" s="94" t="s">
        <v>321</v>
      </c>
      <c r="K20" s="157" t="s">
        <v>328</v>
      </c>
      <c r="M20" s="88" t="s">
        <v>39</v>
      </c>
      <c r="N20" s="55">
        <v>82578</v>
      </c>
      <c r="O20" s="70" t="s">
        <v>310</v>
      </c>
      <c r="P20" s="137">
        <v>2</v>
      </c>
    </row>
    <row r="21" spans="3:16">
      <c r="C21" s="148" t="s">
        <v>11</v>
      </c>
      <c r="D21" s="152" t="s">
        <v>300</v>
      </c>
      <c r="E21" s="150" t="s">
        <v>291</v>
      </c>
      <c r="F21" s="151">
        <f t="shared" ref="F21" si="4">D23/D22</f>
        <v>1133144.47592068</v>
      </c>
      <c r="H21" s="88" t="s">
        <v>11</v>
      </c>
      <c r="I21" s="137" t="s">
        <v>329</v>
      </c>
      <c r="J21" s="70" t="s">
        <v>285</v>
      </c>
      <c r="K21" s="137" t="s">
        <v>328</v>
      </c>
      <c r="M21" s="93" t="s">
        <v>287</v>
      </c>
      <c r="N21" s="57">
        <v>1</v>
      </c>
      <c r="O21" s="94" t="s">
        <v>277</v>
      </c>
      <c r="P21" s="159">
        <v>46008</v>
      </c>
    </row>
    <row r="22" spans="3:16">
      <c r="C22" s="88" t="s">
        <v>290</v>
      </c>
      <c r="D22" s="101">
        <v>3.53</v>
      </c>
      <c r="E22" s="70" t="s">
        <v>277</v>
      </c>
      <c r="F22" s="154">
        <v>45915</v>
      </c>
      <c r="H22" s="88" t="s">
        <v>280</v>
      </c>
      <c r="I22" s="137">
        <v>2017</v>
      </c>
      <c r="J22" s="70" t="s">
        <v>279</v>
      </c>
      <c r="K22" s="155">
        <v>45994</v>
      </c>
      <c r="M22" s="88" t="s">
        <v>11</v>
      </c>
      <c r="N22" s="101" t="s">
        <v>313</v>
      </c>
      <c r="O22" s="70" t="s">
        <v>275</v>
      </c>
      <c r="P22" s="128">
        <v>17940000</v>
      </c>
    </row>
    <row r="23" spans="3:16">
      <c r="C23" s="93" t="s">
        <v>275</v>
      </c>
      <c r="D23" s="156">
        <v>4000000</v>
      </c>
      <c r="E23" s="94" t="s">
        <v>281</v>
      </c>
      <c r="F23" s="157" t="s">
        <v>301</v>
      </c>
      <c r="H23" s="88" t="s">
        <v>282</v>
      </c>
      <c r="I23" s="137">
        <v>32</v>
      </c>
      <c r="J23" s="70" t="s">
        <v>21</v>
      </c>
      <c r="K23" s="56">
        <v>8091</v>
      </c>
      <c r="M23" s="88" t="s">
        <v>280</v>
      </c>
      <c r="N23" s="101">
        <v>2023</v>
      </c>
      <c r="O23" s="70" t="s">
        <v>276</v>
      </c>
      <c r="P23" s="128">
        <f>P22/N24</f>
        <v>302.29501567081184</v>
      </c>
    </row>
    <row r="24" spans="3:16">
      <c r="C24" s="148" t="s">
        <v>11</v>
      </c>
      <c r="D24" s="152" t="s">
        <v>302</v>
      </c>
      <c r="E24" s="150" t="s">
        <v>291</v>
      </c>
      <c r="F24" s="151">
        <f t="shared" ref="F24" si="5">D26/D25</f>
        <v>958881.57894736843</v>
      </c>
      <c r="H24" s="88" t="s">
        <v>284</v>
      </c>
      <c r="I24" s="137" t="s">
        <v>318</v>
      </c>
      <c r="J24" s="70" t="s">
        <v>286</v>
      </c>
      <c r="K24" s="158">
        <v>18.600000000000001</v>
      </c>
      <c r="M24" s="88" t="s">
        <v>39</v>
      </c>
      <c r="N24" s="55">
        <v>59346</v>
      </c>
      <c r="O24" s="70" t="s">
        <v>310</v>
      </c>
      <c r="P24" s="137">
        <v>2</v>
      </c>
    </row>
    <row r="25" spans="3:16">
      <c r="C25" s="88" t="s">
        <v>290</v>
      </c>
      <c r="D25" s="101">
        <v>6.08</v>
      </c>
      <c r="E25" s="70" t="s">
        <v>277</v>
      </c>
      <c r="F25" s="154">
        <v>46009</v>
      </c>
      <c r="H25" s="93" t="s">
        <v>283</v>
      </c>
      <c r="I25" s="157" t="s">
        <v>278</v>
      </c>
      <c r="J25" s="94" t="s">
        <v>321</v>
      </c>
      <c r="K25" s="157" t="s">
        <v>328</v>
      </c>
      <c r="M25" s="93" t="s">
        <v>287</v>
      </c>
      <c r="N25" s="57">
        <v>1</v>
      </c>
      <c r="O25" s="94" t="s">
        <v>277</v>
      </c>
      <c r="P25" s="159">
        <v>46231</v>
      </c>
    </row>
    <row r="26" spans="3:16">
      <c r="C26" s="93" t="s">
        <v>275</v>
      </c>
      <c r="D26" s="156">
        <v>5830000</v>
      </c>
      <c r="E26" s="94" t="s">
        <v>281</v>
      </c>
      <c r="F26" s="157" t="s">
        <v>298</v>
      </c>
      <c r="H26" s="88" t="s">
        <v>11</v>
      </c>
      <c r="I26" s="137" t="s">
        <v>330</v>
      </c>
      <c r="J26" s="70" t="s">
        <v>285</v>
      </c>
      <c r="K26" s="137" t="s">
        <v>328</v>
      </c>
      <c r="M26" s="160" t="s">
        <v>314</v>
      </c>
      <c r="N26" s="161">
        <f>AVERAGE(N8,N12,N16,N20,N24)</f>
        <v>77086</v>
      </c>
      <c r="O26" s="162" t="s">
        <v>304</v>
      </c>
      <c r="P26" s="163">
        <f>AVERAGE(P6,P10,P14,P18,P22)</f>
        <v>20338000</v>
      </c>
    </row>
    <row r="27" spans="3:16">
      <c r="C27" s="164" t="s">
        <v>303</v>
      </c>
      <c r="D27" s="165">
        <f>AVERAGE(D7,D10,D13,D16,D19,D22,D25)</f>
        <v>5.645714285714285</v>
      </c>
      <c r="E27" s="166" t="s">
        <v>305</v>
      </c>
      <c r="F27" s="167">
        <f>AVERAGE(F24,F21,F18,F15,F12,F9,F6)</f>
        <v>970969.0541467882</v>
      </c>
      <c r="H27" s="88" t="s">
        <v>280</v>
      </c>
      <c r="I27" s="137">
        <v>2022</v>
      </c>
      <c r="J27" s="70" t="s">
        <v>279</v>
      </c>
      <c r="K27" s="155">
        <v>45659</v>
      </c>
      <c r="M27" s="168" t="s">
        <v>315</v>
      </c>
      <c r="N27" s="169">
        <f>AVERAGE(N9,N13,N17,N21,N25)</f>
        <v>1</v>
      </c>
      <c r="O27" s="170" t="s">
        <v>316</v>
      </c>
      <c r="P27" s="171">
        <f>AVERAGE(P7,P11,P15,P19,P23)</f>
        <v>268.77068933768192</v>
      </c>
    </row>
    <row r="28" spans="3:16">
      <c r="H28" s="88" t="s">
        <v>282</v>
      </c>
      <c r="I28" s="137">
        <v>22</v>
      </c>
      <c r="J28" s="70" t="s">
        <v>21</v>
      </c>
      <c r="K28" s="56">
        <v>10554</v>
      </c>
    </row>
    <row r="29" spans="3:16">
      <c r="H29" s="88" t="s">
        <v>284</v>
      </c>
      <c r="I29" s="137" t="s">
        <v>318</v>
      </c>
      <c r="J29" s="70" t="s">
        <v>286</v>
      </c>
      <c r="K29" s="158">
        <v>18</v>
      </c>
    </row>
    <row r="30" spans="3:16">
      <c r="H30" s="93" t="s">
        <v>283</v>
      </c>
      <c r="I30" s="157" t="s">
        <v>278</v>
      </c>
      <c r="J30" s="94" t="s">
        <v>321</v>
      </c>
      <c r="K30" s="157" t="s">
        <v>331</v>
      </c>
    </row>
    <row r="31" spans="3:16">
      <c r="H31" s="160" t="s">
        <v>332</v>
      </c>
      <c r="I31" s="172">
        <f>AVERAGE(I7,I12,I17,I22,I27)</f>
        <v>2012</v>
      </c>
      <c r="J31" s="162" t="s">
        <v>334</v>
      </c>
      <c r="K31" s="161">
        <f>AVERAGE(K8,K13,K18,K23,K28)</f>
        <v>12104.8</v>
      </c>
    </row>
    <row r="32" spans="3:16">
      <c r="H32" s="168" t="s">
        <v>333</v>
      </c>
      <c r="I32" s="173">
        <f>AVERAGE(I8,I13,I18,I23,I28)</f>
        <v>24.2</v>
      </c>
      <c r="J32" s="170" t="s">
        <v>335</v>
      </c>
      <c r="K32" s="174">
        <f>AVERAGE(K9,K14,K19,K24,K29)</f>
        <v>19.631999999999998</v>
      </c>
    </row>
  </sheetData>
  <phoneticPr fontId="6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54877-FD16-4A27-B983-8254D46569C8}">
  <dimension ref="B11:C132"/>
  <sheetViews>
    <sheetView workbookViewId="0">
      <selection activeCell="P15" sqref="P15"/>
    </sheetView>
  </sheetViews>
  <sheetFormatPr defaultRowHeight="15"/>
  <cols>
    <col min="2" max="2" width="10.7109375" bestFit="1" customWidth="1"/>
    <col min="3" max="3" width="13.85546875" bestFit="1" customWidth="1"/>
  </cols>
  <sheetData>
    <row r="11" spans="2:3">
      <c r="B11" t="s">
        <v>113</v>
      </c>
      <c r="C11" t="s">
        <v>114</v>
      </c>
    </row>
    <row r="12" spans="2:3">
      <c r="B12" s="9" t="s">
        <v>115</v>
      </c>
      <c r="C12" s="12">
        <v>3.9187300000000001E-2</v>
      </c>
    </row>
    <row r="13" spans="2:3">
      <c r="B13" s="9" t="s">
        <v>116</v>
      </c>
      <c r="C13" s="12">
        <v>3.9703200000000001E-2</v>
      </c>
    </row>
    <row r="14" spans="2:3">
      <c r="B14" s="9" t="s">
        <v>117</v>
      </c>
      <c r="C14" s="12">
        <v>4.1509299999999999E-2</v>
      </c>
    </row>
    <row r="15" spans="2:3">
      <c r="B15" s="9" t="s">
        <v>118</v>
      </c>
      <c r="C15" s="12">
        <v>4.2074999999999994E-2</v>
      </c>
    </row>
    <row r="16" spans="2:3">
      <c r="B16" s="9" t="s">
        <v>119</v>
      </c>
      <c r="C16" s="12">
        <v>4.2434399999999997E-2</v>
      </c>
    </row>
    <row r="17" spans="2:3">
      <c r="B17" s="9" t="s">
        <v>120</v>
      </c>
      <c r="C17" s="12">
        <v>4.3926899999999998E-2</v>
      </c>
    </row>
    <row r="18" spans="2:3">
      <c r="B18" s="9" t="s">
        <v>121</v>
      </c>
      <c r="C18" s="12">
        <v>4.4676500000000001E-2</v>
      </c>
    </row>
    <row r="19" spans="2:3">
      <c r="B19" s="9" t="s">
        <v>122</v>
      </c>
      <c r="C19" s="12">
        <v>4.53444E-2</v>
      </c>
    </row>
    <row r="20" spans="2:3">
      <c r="B20" s="9" t="s">
        <v>123</v>
      </c>
      <c r="C20" s="12">
        <v>4.6244800000000003E-2</v>
      </c>
    </row>
    <row r="21" spans="2:3">
      <c r="B21" s="9" t="s">
        <v>124</v>
      </c>
      <c r="C21" s="12">
        <v>4.6480399999999998E-2</v>
      </c>
    </row>
    <row r="22" spans="2:3">
      <c r="B22" s="9" t="s">
        <v>125</v>
      </c>
      <c r="C22" s="12">
        <v>4.6748000000000005E-2</v>
      </c>
    </row>
    <row r="23" spans="2:3">
      <c r="B23" s="9" t="s">
        <v>126</v>
      </c>
      <c r="C23" s="12">
        <v>4.7133700000000001E-2</v>
      </c>
    </row>
    <row r="24" spans="2:3">
      <c r="B24" s="9" t="s">
        <v>127</v>
      </c>
      <c r="C24" s="12">
        <v>4.7310499999999998E-2</v>
      </c>
    </row>
    <row r="25" spans="2:3">
      <c r="B25" s="9" t="s">
        <v>128</v>
      </c>
      <c r="C25" s="12">
        <v>4.7324499999999999E-2</v>
      </c>
    </row>
    <row r="26" spans="2:3">
      <c r="B26" s="9" t="s">
        <v>129</v>
      </c>
      <c r="C26" s="12">
        <v>4.7327500000000002E-2</v>
      </c>
    </row>
    <row r="27" spans="2:3">
      <c r="B27" s="9" t="s">
        <v>130</v>
      </c>
      <c r="C27" s="12">
        <v>4.7327599999999997E-2</v>
      </c>
    </row>
    <row r="28" spans="2:3">
      <c r="B28" s="9" t="s">
        <v>131</v>
      </c>
      <c r="C28" s="12">
        <v>4.7321200000000001E-2</v>
      </c>
    </row>
    <row r="29" spans="2:3">
      <c r="B29" s="9" t="s">
        <v>132</v>
      </c>
      <c r="C29" s="12">
        <v>4.7327599999999997E-2</v>
      </c>
    </row>
    <row r="30" spans="2:3">
      <c r="B30" s="9" t="s">
        <v>133</v>
      </c>
      <c r="C30" s="12">
        <v>4.73547E-2</v>
      </c>
    </row>
    <row r="31" spans="2:3">
      <c r="B31" s="9" t="s">
        <v>134</v>
      </c>
      <c r="C31" s="12">
        <v>4.7367199999999998E-2</v>
      </c>
    </row>
    <row r="32" spans="2:3">
      <c r="B32" s="9" t="s">
        <v>135</v>
      </c>
      <c r="C32" s="12">
        <v>4.7363999999999996E-2</v>
      </c>
    </row>
    <row r="33" spans="2:3">
      <c r="B33" s="9" t="s">
        <v>136</v>
      </c>
      <c r="C33" s="12">
        <v>4.7367100000000002E-2</v>
      </c>
    </row>
    <row r="34" spans="2:3">
      <c r="B34" s="9" t="s">
        <v>137</v>
      </c>
      <c r="C34" s="12">
        <v>4.7366999999999999E-2</v>
      </c>
    </row>
    <row r="35" spans="2:3">
      <c r="B35" s="9" t="s">
        <v>138</v>
      </c>
      <c r="C35" s="12">
        <v>4.7351799999999999E-2</v>
      </c>
    </row>
    <row r="36" spans="2:3">
      <c r="B36" s="9" t="s">
        <v>139</v>
      </c>
      <c r="C36" s="12">
        <v>4.7179200000000004E-2</v>
      </c>
    </row>
    <row r="37" spans="2:3">
      <c r="B37" s="9" t="s">
        <v>140</v>
      </c>
      <c r="C37" s="12">
        <v>4.7106000000000002E-2</v>
      </c>
    </row>
    <row r="38" spans="2:3">
      <c r="B38" s="9" t="s">
        <v>141</v>
      </c>
      <c r="C38" s="12">
        <v>4.7109100000000001E-2</v>
      </c>
    </row>
    <row r="39" spans="2:3">
      <c r="B39" s="9" t="s">
        <v>142</v>
      </c>
      <c r="C39" s="12">
        <v>4.7108999999999998E-2</v>
      </c>
    </row>
    <row r="40" spans="2:3">
      <c r="B40" s="9" t="s">
        <v>143</v>
      </c>
      <c r="C40" s="12">
        <v>4.70999E-2</v>
      </c>
    </row>
    <row r="41" spans="2:3">
      <c r="B41" s="9" t="s">
        <v>144</v>
      </c>
      <c r="C41" s="12">
        <v>4.7108999999999998E-2</v>
      </c>
    </row>
    <row r="42" spans="2:3">
      <c r="B42" s="9" t="s">
        <v>145</v>
      </c>
      <c r="C42" s="12">
        <v>4.7106000000000002E-2</v>
      </c>
    </row>
    <row r="43" spans="2:3">
      <c r="B43" s="9" t="s">
        <v>146</v>
      </c>
      <c r="C43" s="12">
        <v>4.7109100000000001E-2</v>
      </c>
    </row>
    <row r="44" spans="2:3">
      <c r="B44" s="9" t="s">
        <v>147</v>
      </c>
      <c r="C44" s="12">
        <v>4.7105899999999999E-2</v>
      </c>
    </row>
    <row r="45" spans="2:3">
      <c r="B45" s="9" t="s">
        <v>148</v>
      </c>
      <c r="C45" s="12">
        <v>4.7109199999999997E-2</v>
      </c>
    </row>
    <row r="46" spans="2:3">
      <c r="B46" s="9" t="s">
        <v>149</v>
      </c>
      <c r="C46" s="12">
        <v>4.7109100000000001E-2</v>
      </c>
    </row>
    <row r="47" spans="2:3">
      <c r="B47" s="9" t="s">
        <v>150</v>
      </c>
      <c r="C47" s="12">
        <v>4.7078599999999998E-2</v>
      </c>
    </row>
    <row r="48" spans="2:3">
      <c r="B48" s="9" t="s">
        <v>151</v>
      </c>
      <c r="C48" s="12">
        <v>4.66904E-2</v>
      </c>
    </row>
    <row r="49" spans="2:3">
      <c r="B49" s="9" t="s">
        <v>152</v>
      </c>
      <c r="C49" s="12">
        <v>4.6554200000000004E-2</v>
      </c>
    </row>
    <row r="50" spans="2:3">
      <c r="B50" s="9" t="s">
        <v>153</v>
      </c>
      <c r="C50" s="12">
        <v>4.6557099999999997E-2</v>
      </c>
    </row>
    <row r="51" spans="2:3">
      <c r="B51" s="9" t="s">
        <v>154</v>
      </c>
      <c r="C51" s="12">
        <v>4.6557099999999997E-2</v>
      </c>
    </row>
    <row r="52" spans="2:3">
      <c r="B52" s="9" t="s">
        <v>155</v>
      </c>
      <c r="C52" s="12">
        <v>4.6548199999999998E-2</v>
      </c>
    </row>
    <row r="53" spans="2:3">
      <c r="B53" s="9" t="s">
        <v>156</v>
      </c>
      <c r="C53" s="12">
        <v>4.6557199999999993E-2</v>
      </c>
    </row>
    <row r="54" spans="2:3">
      <c r="B54" s="9" t="s">
        <v>157</v>
      </c>
      <c r="C54" s="12">
        <v>4.6554100000000001E-2</v>
      </c>
    </row>
    <row r="55" spans="2:3">
      <c r="B55" s="9" t="s">
        <v>158</v>
      </c>
      <c r="C55" s="12">
        <v>4.6557199999999993E-2</v>
      </c>
    </row>
    <row r="56" spans="2:3">
      <c r="B56" s="9" t="s">
        <v>159</v>
      </c>
      <c r="C56" s="12">
        <v>4.6554200000000004E-2</v>
      </c>
    </row>
    <row r="57" spans="2:3">
      <c r="B57" s="9" t="s">
        <v>160</v>
      </c>
      <c r="C57" s="12">
        <v>4.6557099999999997E-2</v>
      </c>
    </row>
    <row r="58" spans="2:3">
      <c r="B58" s="9" t="s">
        <v>161</v>
      </c>
      <c r="C58" s="12">
        <v>4.6557199999999993E-2</v>
      </c>
    </row>
    <row r="59" spans="2:3">
      <c r="B59" s="9" t="s">
        <v>162</v>
      </c>
      <c r="C59" s="12">
        <v>4.65637E-2</v>
      </c>
    </row>
    <row r="60" spans="2:3">
      <c r="B60" s="9" t="s">
        <v>163</v>
      </c>
      <c r="C60" s="12">
        <v>4.6704299999999997E-2</v>
      </c>
    </row>
    <row r="61" spans="2:3">
      <c r="B61" s="9" t="s">
        <v>164</v>
      </c>
      <c r="C61" s="12">
        <v>4.6747899999999995E-2</v>
      </c>
    </row>
    <row r="62" spans="2:3">
      <c r="B62" s="9" t="s">
        <v>165</v>
      </c>
      <c r="C62" s="12">
        <v>4.6751100000000004E-2</v>
      </c>
    </row>
    <row r="63" spans="2:3">
      <c r="B63" s="9" t="s">
        <v>166</v>
      </c>
      <c r="C63" s="12">
        <v>4.6750899999999998E-2</v>
      </c>
    </row>
    <row r="64" spans="2:3">
      <c r="B64" s="9" t="s">
        <v>167</v>
      </c>
      <c r="C64" s="12">
        <v>4.6741999999999999E-2</v>
      </c>
    </row>
    <row r="65" spans="2:3">
      <c r="B65" s="9" t="s">
        <v>168</v>
      </c>
      <c r="C65" s="12">
        <v>4.6751100000000004E-2</v>
      </c>
    </row>
    <row r="66" spans="2:3">
      <c r="B66" s="9" t="s">
        <v>169</v>
      </c>
      <c r="C66" s="12">
        <v>4.6748000000000005E-2</v>
      </c>
    </row>
    <row r="67" spans="2:3">
      <c r="B67" s="9" t="s">
        <v>170</v>
      </c>
      <c r="C67" s="12">
        <v>4.6751100000000004E-2</v>
      </c>
    </row>
    <row r="68" spans="2:3">
      <c r="B68" s="9" t="s">
        <v>171</v>
      </c>
      <c r="C68" s="12">
        <v>4.6748000000000005E-2</v>
      </c>
    </row>
    <row r="69" spans="2:3">
      <c r="B69" s="9" t="s">
        <v>172</v>
      </c>
      <c r="C69" s="12">
        <v>4.6750999999999994E-2</v>
      </c>
    </row>
    <row r="70" spans="2:3">
      <c r="B70" s="9" t="s">
        <v>173</v>
      </c>
      <c r="C70" s="12">
        <v>4.6750999999999994E-2</v>
      </c>
    </row>
    <row r="71" spans="2:3">
      <c r="B71" s="9" t="s">
        <v>174</v>
      </c>
      <c r="C71" s="12">
        <v>4.67838E-2</v>
      </c>
    </row>
    <row r="72" spans="2:3">
      <c r="B72" s="9" t="s">
        <v>175</v>
      </c>
      <c r="C72" s="12">
        <v>4.7300199999999994E-2</v>
      </c>
    </row>
    <row r="73" spans="2:3">
      <c r="B73" s="9" t="s">
        <v>176</v>
      </c>
      <c r="C73" s="12">
        <v>4.7444100000000003E-2</v>
      </c>
    </row>
    <row r="74" spans="2:3">
      <c r="B74" s="9" t="s">
        <v>177</v>
      </c>
      <c r="C74" s="12">
        <v>4.7447299999999998E-2</v>
      </c>
    </row>
    <row r="75" spans="2:3">
      <c r="B75" s="9" t="s">
        <v>178</v>
      </c>
      <c r="C75" s="12">
        <v>4.7447200000000002E-2</v>
      </c>
    </row>
    <row r="76" spans="2:3">
      <c r="B76" s="9" t="s">
        <v>179</v>
      </c>
      <c r="C76" s="12">
        <v>4.7441000000000004E-2</v>
      </c>
    </row>
    <row r="77" spans="2:3">
      <c r="B77" s="9" t="s">
        <v>180</v>
      </c>
      <c r="C77" s="12">
        <v>4.7447200000000002E-2</v>
      </c>
    </row>
    <row r="78" spans="2:3">
      <c r="B78" s="9" t="s">
        <v>181</v>
      </c>
      <c r="C78" s="12">
        <v>4.7444199999999999E-2</v>
      </c>
    </row>
    <row r="79" spans="2:3">
      <c r="B79" s="9" t="s">
        <v>182</v>
      </c>
      <c r="C79" s="12">
        <v>4.7447200000000002E-2</v>
      </c>
    </row>
    <row r="80" spans="2:3">
      <c r="B80" s="9" t="s">
        <v>183</v>
      </c>
      <c r="C80" s="12">
        <v>4.7444100000000003E-2</v>
      </c>
    </row>
    <row r="81" spans="2:3">
      <c r="B81" s="9" t="s">
        <v>184</v>
      </c>
      <c r="C81" s="12">
        <v>4.7447200000000002E-2</v>
      </c>
    </row>
    <row r="82" spans="2:3">
      <c r="B82" s="9" t="s">
        <v>185</v>
      </c>
      <c r="C82" s="12">
        <v>4.7447200000000002E-2</v>
      </c>
    </row>
    <row r="83" spans="2:3">
      <c r="B83" s="9" t="s">
        <v>186</v>
      </c>
      <c r="C83" s="12">
        <v>4.7472599999999997E-2</v>
      </c>
    </row>
    <row r="84" spans="2:3">
      <c r="B84" s="9" t="s">
        <v>187</v>
      </c>
      <c r="C84" s="12">
        <v>4.7884399999999994E-2</v>
      </c>
    </row>
    <row r="85" spans="2:3">
      <c r="B85" s="9" t="s">
        <v>188</v>
      </c>
      <c r="C85" s="12">
        <v>4.8044299999999998E-2</v>
      </c>
    </row>
    <row r="86" spans="2:3">
      <c r="B86" s="9" t="s">
        <v>189</v>
      </c>
      <c r="C86" s="12">
        <v>4.8047399999999997E-2</v>
      </c>
    </row>
    <row r="87" spans="2:3">
      <c r="B87" s="9" t="s">
        <v>190</v>
      </c>
      <c r="C87" s="12">
        <v>4.80475E-2</v>
      </c>
    </row>
    <row r="88" spans="2:3">
      <c r="B88" s="9" t="s">
        <v>191</v>
      </c>
      <c r="C88" s="12">
        <v>4.8037799999999999E-2</v>
      </c>
    </row>
    <row r="89" spans="2:3">
      <c r="B89" s="9" t="s">
        <v>192</v>
      </c>
      <c r="C89" s="12">
        <v>4.80475E-2</v>
      </c>
    </row>
    <row r="90" spans="2:3">
      <c r="B90" s="9" t="s">
        <v>193</v>
      </c>
      <c r="C90" s="12">
        <v>4.8044299999999998E-2</v>
      </c>
    </row>
    <row r="91" spans="2:3">
      <c r="B91" s="9" t="s">
        <v>194</v>
      </c>
      <c r="C91" s="12">
        <v>4.8047399999999997E-2</v>
      </c>
    </row>
    <row r="92" spans="2:3">
      <c r="B92" s="9" t="s">
        <v>195</v>
      </c>
      <c r="C92" s="12">
        <v>4.8044200000000002E-2</v>
      </c>
    </row>
    <row r="93" spans="2:3">
      <c r="B93" s="9" t="s">
        <v>196</v>
      </c>
      <c r="C93" s="12">
        <v>4.80475E-2</v>
      </c>
    </row>
    <row r="94" spans="2:3">
      <c r="B94" s="9" t="s">
        <v>197</v>
      </c>
      <c r="C94" s="12">
        <v>4.80475E-2</v>
      </c>
    </row>
    <row r="95" spans="2:3">
      <c r="B95" s="9" t="s">
        <v>198</v>
      </c>
      <c r="C95" s="12">
        <v>4.8074000000000006E-2</v>
      </c>
    </row>
    <row r="96" spans="2:3">
      <c r="B96" s="9" t="s">
        <v>199</v>
      </c>
      <c r="C96" s="12">
        <v>4.8504199999999997E-2</v>
      </c>
    </row>
    <row r="97" spans="2:3">
      <c r="B97" s="9" t="s">
        <v>200</v>
      </c>
      <c r="C97" s="12">
        <v>4.8671400000000004E-2</v>
      </c>
    </row>
    <row r="98" spans="2:3">
      <c r="B98" s="9" t="s">
        <v>201</v>
      </c>
      <c r="C98" s="12">
        <v>4.8674600000000005E-2</v>
      </c>
    </row>
    <row r="99" spans="2:3">
      <c r="B99" s="9" t="s">
        <v>202</v>
      </c>
      <c r="C99" s="12">
        <v>4.8674600000000005E-2</v>
      </c>
    </row>
    <row r="100" spans="2:3">
      <c r="B100" s="9" t="s">
        <v>203</v>
      </c>
      <c r="C100" s="12">
        <v>4.8664800000000001E-2</v>
      </c>
    </row>
    <row r="101" spans="2:3">
      <c r="B101" s="9" t="s">
        <v>204</v>
      </c>
      <c r="C101" s="12">
        <v>4.8674700000000001E-2</v>
      </c>
    </row>
    <row r="102" spans="2:3">
      <c r="B102" s="9" t="s">
        <v>205</v>
      </c>
      <c r="C102" s="12">
        <v>4.8671300000000001E-2</v>
      </c>
    </row>
    <row r="103" spans="2:3">
      <c r="B103" s="9" t="s">
        <v>206</v>
      </c>
      <c r="C103" s="12">
        <v>4.8674700000000001E-2</v>
      </c>
    </row>
    <row r="104" spans="2:3">
      <c r="B104" s="9" t="s">
        <v>207</v>
      </c>
      <c r="C104" s="12">
        <v>4.8671300000000001E-2</v>
      </c>
    </row>
    <row r="105" spans="2:3">
      <c r="B105" s="9" t="s">
        <v>208</v>
      </c>
      <c r="C105" s="12">
        <v>4.8674600000000005E-2</v>
      </c>
    </row>
    <row r="106" spans="2:3">
      <c r="B106" s="9" t="s">
        <v>209</v>
      </c>
      <c r="C106" s="12">
        <v>4.8674600000000005E-2</v>
      </c>
    </row>
    <row r="107" spans="2:3">
      <c r="B107" s="9" t="s">
        <v>210</v>
      </c>
      <c r="C107" s="12">
        <v>4.8707500000000001E-2</v>
      </c>
    </row>
    <row r="108" spans="2:3">
      <c r="B108" s="9" t="s">
        <v>211</v>
      </c>
      <c r="C108" s="12">
        <v>4.9228899999999999E-2</v>
      </c>
    </row>
    <row r="109" spans="2:3">
      <c r="B109" s="9" t="s">
        <v>212</v>
      </c>
      <c r="C109" s="12">
        <v>4.94321E-2</v>
      </c>
    </row>
    <row r="110" spans="2:3">
      <c r="B110" s="9" t="s">
        <v>213</v>
      </c>
      <c r="C110" s="12">
        <v>4.9435599999999996E-2</v>
      </c>
    </row>
    <row r="111" spans="2:3">
      <c r="B111" s="9" t="s">
        <v>214</v>
      </c>
      <c r="C111" s="12">
        <v>4.9435599999999996E-2</v>
      </c>
    </row>
    <row r="112" spans="2:3">
      <c r="B112" s="9" t="s">
        <v>215</v>
      </c>
      <c r="C112" s="12">
        <v>4.9425200000000002E-2</v>
      </c>
    </row>
    <row r="113" spans="2:3">
      <c r="B113" s="9" t="s">
        <v>216</v>
      </c>
      <c r="C113" s="12">
        <v>4.9435599999999996E-2</v>
      </c>
    </row>
    <row r="114" spans="2:3">
      <c r="B114" s="9" t="s">
        <v>217</v>
      </c>
      <c r="C114" s="12">
        <v>4.94321E-2</v>
      </c>
    </row>
    <row r="115" spans="2:3">
      <c r="B115" s="9" t="s">
        <v>218</v>
      </c>
      <c r="C115" s="12">
        <v>4.9435599999999996E-2</v>
      </c>
    </row>
    <row r="116" spans="2:3">
      <c r="B116" s="9" t="s">
        <v>219</v>
      </c>
      <c r="C116" s="12">
        <v>4.9432200000000003E-2</v>
      </c>
    </row>
    <row r="117" spans="2:3">
      <c r="B117" s="9" t="s">
        <v>220</v>
      </c>
      <c r="C117" s="12">
        <v>4.9435399999999997E-2</v>
      </c>
    </row>
    <row r="118" spans="2:3">
      <c r="B118" s="9" t="s">
        <v>221</v>
      </c>
      <c r="C118" s="12">
        <v>4.9435599999999996E-2</v>
      </c>
    </row>
    <row r="119" spans="2:3">
      <c r="B119" s="9" t="s">
        <v>222</v>
      </c>
      <c r="C119" s="12">
        <v>4.9477E-2</v>
      </c>
    </row>
    <row r="120" spans="2:3">
      <c r="B120" s="9" t="s">
        <v>223</v>
      </c>
      <c r="C120" s="12">
        <v>5.0123600000000004E-2</v>
      </c>
    </row>
    <row r="121" spans="2:3">
      <c r="B121" s="9" t="s">
        <v>224</v>
      </c>
      <c r="C121" s="12">
        <v>5.0339000000000002E-2</v>
      </c>
    </row>
    <row r="122" spans="2:3">
      <c r="B122" s="9" t="s">
        <v>225</v>
      </c>
      <c r="C122" s="12">
        <v>5.0342399999999995E-2</v>
      </c>
    </row>
    <row r="123" spans="2:3">
      <c r="B123" s="9" t="s">
        <v>226</v>
      </c>
      <c r="C123" s="12">
        <v>5.0342599999999994E-2</v>
      </c>
    </row>
    <row r="124" spans="2:3">
      <c r="B124" s="9" t="s">
        <v>227</v>
      </c>
      <c r="C124" s="12">
        <v>5.0335499999999998E-2</v>
      </c>
    </row>
    <row r="125" spans="2:3">
      <c r="B125" s="9" t="s">
        <v>228</v>
      </c>
      <c r="C125" s="12">
        <v>5.0342499999999998E-2</v>
      </c>
    </row>
    <row r="126" spans="2:3">
      <c r="B126" s="9" t="s">
        <v>229</v>
      </c>
      <c r="C126" s="12">
        <v>5.0338900000000006E-2</v>
      </c>
    </row>
    <row r="127" spans="2:3">
      <c r="B127" s="9" t="s">
        <v>230</v>
      </c>
      <c r="C127" s="12">
        <v>5.0342499999999998E-2</v>
      </c>
    </row>
    <row r="128" spans="2:3">
      <c r="B128" s="9" t="s">
        <v>231</v>
      </c>
      <c r="C128" s="12">
        <v>5.0339000000000002E-2</v>
      </c>
    </row>
    <row r="129" spans="2:3">
      <c r="B129" s="9" t="s">
        <v>232</v>
      </c>
      <c r="C129" s="12">
        <v>5.0342599999999994E-2</v>
      </c>
    </row>
    <row r="130" spans="2:3">
      <c r="B130" s="9" t="s">
        <v>233</v>
      </c>
      <c r="C130" s="12">
        <v>5.0342599999999994E-2</v>
      </c>
    </row>
    <row r="131" spans="2:3">
      <c r="B131" s="9" t="s">
        <v>234</v>
      </c>
      <c r="C131" s="12">
        <v>5.0403500000000004E-2</v>
      </c>
    </row>
    <row r="132" spans="2:3">
      <c r="B132" s="9" t="s">
        <v>235</v>
      </c>
      <c r="C132" s="12">
        <v>5.1310000000000001E-2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Underwriting</vt:lpstr>
      <vt:lpstr>Comps</vt:lpstr>
      <vt:lpstr>SOFR Curve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Carlos</dc:creator>
  <cp:lastModifiedBy>Robert Weeks</cp:lastModifiedBy>
  <cp:lastPrinted>2026-09-03T19:12:27Z</cp:lastPrinted>
  <dcterms:created xsi:type="dcterms:W3CDTF">2013-10-15T18:00:41Z</dcterms:created>
  <dcterms:modified xsi:type="dcterms:W3CDTF">2026-10-18T04:40:09Z</dcterms:modified>
</cp:coreProperties>
</file>